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Самараинвестнефть\090224 КС 1\"/>
    </mc:Choice>
  </mc:AlternateContent>
  <xr:revisionPtr revIDLastSave="0" documentId="13_ncr:1_{69C2C45D-4C14-4AB2-900B-5BE850BBE9F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Техническое задание" sheetId="1" r:id="rId1"/>
  </sheets>
  <definedNames>
    <definedName name="_xlnm._FilterDatabase" localSheetId="0" hidden="1">'Техническое задание'!$A$11:$E$3727</definedName>
    <definedName name="_xlnm.Print_Titles" localSheetId="0">'Техническое задание'!$11:$12</definedName>
    <definedName name="_xlnm.Print_Area" localSheetId="0">'Техническое задание'!$A$1:$E$3729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86" i="1" l="1"/>
  <c r="D3680" i="1"/>
  <c r="D3700" i="1" s="1"/>
  <c r="D3678" i="1"/>
  <c r="D3676" i="1"/>
  <c r="D3666" i="1"/>
  <c r="D3664" i="1"/>
  <c r="D3654" i="1"/>
  <c r="D3638" i="1"/>
  <c r="D3636" i="1"/>
  <c r="D3632" i="1"/>
  <c r="D3633" i="1" s="1"/>
  <c r="D3630" i="1"/>
  <c r="D3631" i="1" s="1"/>
  <c r="D3629" i="1"/>
  <c r="D3628" i="1"/>
  <c r="D3626" i="1"/>
  <c r="D3627" i="1" s="1"/>
  <c r="D3625" i="1"/>
  <c r="D3609" i="1"/>
  <c r="D3610" i="1" s="1"/>
  <c r="D3607" i="1"/>
  <c r="D3608" i="1" s="1"/>
  <c r="D3606" i="1"/>
  <c r="D3605" i="1"/>
  <c r="D3603" i="1"/>
  <c r="D3604" i="1" s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0" i="1"/>
  <c r="E3549" i="1"/>
  <c r="E3548" i="1"/>
  <c r="D3546" i="1"/>
  <c r="E3541" i="1"/>
  <c r="D3539" i="1"/>
  <c r="D3544" i="1" s="1"/>
  <c r="E3538" i="1"/>
  <c r="E3537" i="1"/>
  <c r="E3535" i="1"/>
  <c r="E3534" i="1"/>
  <c r="D3532" i="1"/>
  <c r="D3530" i="1"/>
  <c r="E3524" i="1"/>
  <c r="E3523" i="1"/>
  <c r="E3522" i="1"/>
  <c r="E3521" i="1"/>
  <c r="E3520" i="1"/>
  <c r="E3516" i="1"/>
  <c r="E3514" i="1"/>
  <c r="D3503" i="1"/>
  <c r="D3478" i="1"/>
  <c r="D3482" i="1" s="1"/>
  <c r="D3487" i="1" s="1"/>
  <c r="D3477" i="1"/>
  <c r="D3481" i="1" s="1"/>
  <c r="D3486" i="1" s="1"/>
  <c r="D3476" i="1"/>
  <c r="D3480" i="1" s="1"/>
  <c r="D3475" i="1"/>
  <c r="D3463" i="1"/>
  <c r="D3464" i="1" s="1"/>
  <c r="D3461" i="1"/>
  <c r="D3462" i="1" s="1"/>
  <c r="D3460" i="1"/>
  <c r="D3459" i="1"/>
  <c r="D3457" i="1"/>
  <c r="D3458" i="1" s="1"/>
  <c r="D3456" i="1"/>
  <c r="D3455" i="1"/>
  <c r="D3454" i="1"/>
  <c r="D3453" i="1"/>
  <c r="D3452" i="1"/>
  <c r="D3451" i="1"/>
  <c r="D3450" i="1"/>
  <c r="D3447" i="1"/>
  <c r="D3434" i="1"/>
  <c r="D3430" i="1"/>
  <c r="D3421" i="1"/>
  <c r="D3411" i="1"/>
  <c r="D3404" i="1"/>
  <c r="D3399" i="1"/>
  <c r="D3354" i="1"/>
  <c r="D3338" i="1"/>
  <c r="D3336" i="1"/>
  <c r="D3335" i="1"/>
  <c r="D3322" i="1"/>
  <c r="D3321" i="1"/>
  <c r="D3317" i="1"/>
  <c r="D3315" i="1"/>
  <c r="D3314" i="1"/>
  <c r="D3310" i="1"/>
  <c r="D3309" i="1"/>
  <c r="D3308" i="1"/>
  <c r="D3307" i="1"/>
  <c r="D3306" i="1"/>
  <c r="D3305" i="1"/>
  <c r="D3301" i="1"/>
  <c r="D3300" i="1"/>
  <c r="D3298" i="1"/>
  <c r="D3299" i="1" s="1"/>
  <c r="D3297" i="1"/>
  <c r="D3296" i="1"/>
  <c r="D3295" i="1"/>
  <c r="D3294" i="1"/>
  <c r="D3289" i="1"/>
  <c r="D3288" i="1"/>
  <c r="D3286" i="1"/>
  <c r="D3287" i="1" s="1"/>
  <c r="D3285" i="1"/>
  <c r="D3284" i="1"/>
  <c r="D3283" i="1"/>
  <c r="D3282" i="1"/>
  <c r="D3271" i="1"/>
  <c r="D3272" i="1" s="1"/>
  <c r="D3269" i="1"/>
  <c r="D3270" i="1" s="1"/>
  <c r="D3268" i="1"/>
  <c r="D3267" i="1"/>
  <c r="D3265" i="1"/>
  <c r="D3266" i="1" s="1"/>
  <c r="D3264" i="1"/>
  <c r="D3263" i="1"/>
  <c r="D3262" i="1"/>
  <c r="D3260" i="1"/>
  <c r="D3259" i="1"/>
  <c r="D3258" i="1"/>
  <c r="D3257" i="1"/>
  <c r="D3256" i="1"/>
  <c r="D3255" i="1"/>
  <c r="D3254" i="1"/>
  <c r="D3253" i="1"/>
  <c r="D3252" i="1"/>
  <c r="D3245" i="1"/>
  <c r="D3237" i="1"/>
  <c r="D3226" i="1"/>
  <c r="D3224" i="1"/>
  <c r="D3222" i="1"/>
  <c r="D3220" i="1"/>
  <c r="D3218" i="1"/>
  <c r="D3214" i="1"/>
  <c r="D3213" i="1"/>
  <c r="D3211" i="1"/>
  <c r="D3210" i="1"/>
  <c r="D3207" i="1"/>
  <c r="D3206" i="1"/>
  <c r="D3203" i="1"/>
  <c r="D3202" i="1"/>
  <c r="D3199" i="1"/>
  <c r="D3198" i="1"/>
  <c r="D3196" i="1"/>
  <c r="D3195" i="1"/>
  <c r="D3193" i="1"/>
  <c r="E3191" i="1"/>
  <c r="D3180" i="1"/>
  <c r="D3169" i="1"/>
  <c r="D3168" i="1"/>
  <c r="D3167" i="1"/>
  <c r="D3181" i="1" s="1"/>
  <c r="D3164" i="1"/>
  <c r="D3154" i="1"/>
  <c r="D3153" i="1"/>
  <c r="D3152" i="1"/>
  <c r="D3165" i="1" s="1"/>
  <c r="D3136" i="1"/>
  <c r="D3142" i="1" s="1"/>
  <c r="D3124" i="1"/>
  <c r="D3125" i="1" s="1"/>
  <c r="E3123" i="1"/>
  <c r="D3123" i="1"/>
  <c r="D3120" i="1"/>
  <c r="D3119" i="1"/>
  <c r="D3118" i="1"/>
  <c r="D3121" i="1" s="1"/>
  <c r="D3116" i="1"/>
  <c r="D3117" i="1" s="1"/>
  <c r="E3110" i="1"/>
  <c r="D3110" i="1"/>
  <c r="E3109" i="1"/>
  <c r="D3109" i="1"/>
  <c r="D3107" i="1"/>
  <c r="D3104" i="1"/>
  <c r="D3102" i="1"/>
  <c r="D3100" i="1"/>
  <c r="D3096" i="1"/>
  <c r="D3097" i="1" s="1"/>
  <c r="D3099" i="1" s="1"/>
  <c r="D3087" i="1"/>
  <c r="D3085" i="1"/>
  <c r="D3083" i="1"/>
  <c r="D3081" i="1"/>
  <c r="D3080" i="1"/>
  <c r="D3079" i="1"/>
  <c r="D3066" i="1"/>
  <c r="D3067" i="1" s="1"/>
  <c r="D3064" i="1"/>
  <c r="D3065" i="1" s="1"/>
  <c r="D3063" i="1"/>
  <c r="D3062" i="1"/>
  <c r="D3060" i="1"/>
  <c r="D3061" i="1" s="1"/>
  <c r="D3055" i="1"/>
  <c r="D3053" i="1"/>
  <c r="D3047" i="1"/>
  <c r="D3048" i="1" s="1"/>
  <c r="D3045" i="1"/>
  <c r="D3046" i="1" s="1"/>
  <c r="D3044" i="1"/>
  <c r="D3043" i="1"/>
  <c r="D3041" i="1"/>
  <c r="D3042" i="1" s="1"/>
  <c r="D3040" i="1"/>
  <c r="D3039" i="1"/>
  <c r="D3034" i="1"/>
  <c r="D3032" i="1"/>
  <c r="D3029" i="1"/>
  <c r="D3030" i="1" s="1"/>
  <c r="D3028" i="1"/>
  <c r="D3025" i="1"/>
  <c r="D3009" i="1"/>
  <c r="D2989" i="1"/>
  <c r="D2987" i="1"/>
  <c r="D2985" i="1"/>
  <c r="D2983" i="1"/>
  <c r="D2982" i="1"/>
  <c r="D2981" i="1"/>
  <c r="D2955" i="1"/>
  <c r="D2956" i="1" s="1"/>
  <c r="D2953" i="1"/>
  <c r="D2954" i="1" s="1"/>
  <c r="D2952" i="1"/>
  <c r="D2951" i="1"/>
  <c r="D2949" i="1"/>
  <c r="D2950" i="1" s="1"/>
  <c r="D2948" i="1"/>
  <c r="D2947" i="1"/>
  <c r="D2946" i="1"/>
  <c r="D2945" i="1"/>
  <c r="D2944" i="1"/>
  <c r="D2943" i="1"/>
  <c r="D2942" i="1"/>
  <c r="D2930" i="1"/>
  <c r="D2923" i="1"/>
  <c r="D2918" i="1"/>
  <c r="D2914" i="1"/>
  <c r="D2909" i="1"/>
  <c r="D2888" i="1"/>
  <c r="D2889" i="1" s="1"/>
  <c r="D2886" i="1"/>
  <c r="D2887" i="1" s="1"/>
  <c r="D2885" i="1"/>
  <c r="D2884" i="1"/>
  <c r="D2882" i="1"/>
  <c r="D2883" i="1" s="1"/>
  <c r="D2881" i="1"/>
  <c r="D2877" i="1"/>
  <c r="D2876" i="1"/>
  <c r="D2875" i="1"/>
  <c r="D2874" i="1"/>
  <c r="D2873" i="1"/>
  <c r="D2872" i="1"/>
  <c r="D2871" i="1"/>
  <c r="D2870" i="1"/>
  <c r="D2865" i="1"/>
  <c r="D2866" i="1" s="1"/>
  <c r="D2862" i="1"/>
  <c r="D2861" i="1"/>
  <c r="D2860" i="1"/>
  <c r="D2859" i="1"/>
  <c r="D2857" i="1"/>
  <c r="D2853" i="1"/>
  <c r="D2851" i="1"/>
  <c r="D2843" i="1"/>
  <c r="D2844" i="1" s="1"/>
  <c r="D2840" i="1"/>
  <c r="D2837" i="1"/>
  <c r="D2832" i="1"/>
  <c r="D2830" i="1"/>
  <c r="D2845" i="1" s="1"/>
  <c r="D2829" i="1"/>
  <c r="D2828" i="1"/>
  <c r="D2827" i="1"/>
  <c r="D2826" i="1"/>
  <c r="D2825" i="1"/>
  <c r="D2823" i="1"/>
  <c r="D2819" i="1"/>
  <c r="D2818" i="1"/>
  <c r="D2817" i="1"/>
  <c r="E2816" i="1"/>
  <c r="D2816" i="1"/>
  <c r="D2815" i="1"/>
  <c r="D2810" i="1"/>
  <c r="D2811" i="1" s="1"/>
  <c r="D2808" i="1"/>
  <c r="D2809" i="1" s="1"/>
  <c r="D2807" i="1"/>
  <c r="D2806" i="1"/>
  <c r="D2804" i="1"/>
  <c r="D2805" i="1" s="1"/>
  <c r="D2802" i="1"/>
  <c r="D2798" i="1"/>
  <c r="D2799" i="1" s="1"/>
  <c r="D2796" i="1"/>
  <c r="D2797" i="1" s="1"/>
  <c r="D2795" i="1"/>
  <c r="D2794" i="1"/>
  <c r="D2792" i="1"/>
  <c r="D2793" i="1" s="1"/>
  <c r="D2790" i="1"/>
  <c r="D2786" i="1"/>
  <c r="D2787" i="1" s="1"/>
  <c r="D2784" i="1"/>
  <c r="D2785" i="1" s="1"/>
  <c r="D2783" i="1"/>
  <c r="D2782" i="1"/>
  <c r="D2780" i="1"/>
  <c r="D2781" i="1" s="1"/>
  <c r="D2778" i="1"/>
  <c r="D2777" i="1"/>
  <c r="D2773" i="1"/>
  <c r="D2772" i="1"/>
  <c r="D2771" i="1"/>
  <c r="D2770" i="1"/>
  <c r="D2769" i="1"/>
  <c r="D2766" i="1"/>
  <c r="D2767" i="1" s="1"/>
  <c r="D2764" i="1"/>
  <c r="D2765" i="1" s="1"/>
  <c r="D2763" i="1"/>
  <c r="D2762" i="1"/>
  <c r="D2760" i="1"/>
  <c r="D2761" i="1" s="1"/>
  <c r="D2755" i="1"/>
  <c r="D2756" i="1" s="1"/>
  <c r="D2753" i="1"/>
  <c r="D2754" i="1" s="1"/>
  <c r="D2752" i="1"/>
  <c r="D2751" i="1"/>
  <c r="D2749" i="1"/>
  <c r="D2750" i="1" s="1"/>
  <c r="D2746" i="1"/>
  <c r="D2745" i="1"/>
  <c r="D2741" i="1"/>
  <c r="D2740" i="1"/>
  <c r="D2738" i="1"/>
  <c r="D2735" i="1"/>
  <c r="D2736" i="1" s="1"/>
  <c r="D2734" i="1"/>
  <c r="D2733" i="1"/>
  <c r="E2728" i="1"/>
  <c r="D2728" i="1"/>
  <c r="E2726" i="1"/>
  <c r="D2726" i="1"/>
  <c r="D2724" i="1"/>
  <c r="D2723" i="1"/>
  <c r="D2722" i="1"/>
  <c r="D2707" i="1"/>
  <c r="D2708" i="1" s="1"/>
  <c r="D2704" i="1"/>
  <c r="D2703" i="1"/>
  <c r="D2702" i="1"/>
  <c r="D2701" i="1"/>
  <c r="D2700" i="1"/>
  <c r="D2698" i="1"/>
  <c r="D2699" i="1" s="1"/>
  <c r="D2697" i="1"/>
  <c r="D2696" i="1"/>
  <c r="D2692" i="1"/>
  <c r="D2693" i="1" s="1"/>
  <c r="D2689" i="1"/>
  <c r="D2688" i="1"/>
  <c r="D2687" i="1"/>
  <c r="D2686" i="1"/>
  <c r="D2685" i="1"/>
  <c r="D2683" i="1"/>
  <c r="D2684" i="1" s="1"/>
  <c r="D2682" i="1"/>
  <c r="D2681" i="1"/>
  <c r="D2674" i="1"/>
  <c r="D2673" i="1"/>
  <c r="D2672" i="1"/>
  <c r="D2671" i="1"/>
  <c r="D2669" i="1"/>
  <c r="D2668" i="1"/>
  <c r="D2660" i="1"/>
  <c r="D2651" i="1"/>
  <c r="D2649" i="1"/>
  <c r="D2640" i="1"/>
  <c r="D2638" i="1"/>
  <c r="D2636" i="1"/>
  <c r="D2624" i="1"/>
  <c r="D2622" i="1"/>
  <c r="D2613" i="1"/>
  <c r="D2602" i="1"/>
  <c r="D2600" i="1"/>
  <c r="D2598" i="1"/>
  <c r="D2595" i="1"/>
  <c r="D2593" i="1"/>
  <c r="D2590" i="1"/>
  <c r="D2588" i="1"/>
  <c r="D2589" i="1" s="1"/>
  <c r="D2586" i="1"/>
  <c r="D2587" i="1" s="1"/>
  <c r="D2585" i="1"/>
  <c r="D2584" i="1"/>
  <c r="D2582" i="1"/>
  <c r="D2583" i="1" s="1"/>
  <c r="D2581" i="1"/>
  <c r="D2580" i="1"/>
  <c r="D2578" i="1"/>
  <c r="D2577" i="1"/>
  <c r="D2566" i="1"/>
  <c r="D2564" i="1"/>
  <c r="D2562" i="1"/>
  <c r="D2560" i="1"/>
  <c r="D2559" i="1"/>
  <c r="D2558" i="1"/>
  <c r="D2545" i="1"/>
  <c r="D2546" i="1" s="1"/>
  <c r="D2543" i="1"/>
  <c r="D2544" i="1" s="1"/>
  <c r="D2542" i="1"/>
  <c r="D2541" i="1"/>
  <c r="D2539" i="1"/>
  <c r="D2540" i="1" s="1"/>
  <c r="D2538" i="1"/>
  <c r="D2537" i="1"/>
  <c r="D2536" i="1"/>
  <c r="D2535" i="1"/>
  <c r="D2534" i="1"/>
  <c r="D2533" i="1"/>
  <c r="D2532" i="1"/>
  <c r="D2528" i="1"/>
  <c r="D2524" i="1"/>
  <c r="D2521" i="1"/>
  <c r="D2513" i="1"/>
  <c r="D2514" i="1" s="1"/>
  <c r="D2511" i="1"/>
  <c r="D2512" i="1" s="1"/>
  <c r="D2510" i="1"/>
  <c r="D2509" i="1"/>
  <c r="D2507" i="1"/>
  <c r="D2508" i="1" s="1"/>
  <c r="D2505" i="1"/>
  <c r="D2506" i="1" s="1"/>
  <c r="D2503" i="1"/>
  <c r="D2502" i="1"/>
  <c r="D2497" i="1"/>
  <c r="D2495" i="1"/>
  <c r="D2492" i="1"/>
  <c r="D2489" i="1"/>
  <c r="D2479" i="1"/>
  <c r="D2462" i="1"/>
  <c r="D2455" i="1"/>
  <c r="D2441" i="1"/>
  <c r="D2439" i="1"/>
  <c r="D2437" i="1"/>
  <c r="D2435" i="1"/>
  <c r="D2434" i="1"/>
  <c r="D2433" i="1"/>
  <c r="D2417" i="1"/>
  <c r="D2418" i="1" s="1"/>
  <c r="D2415" i="1"/>
  <c r="D2416" i="1" s="1"/>
  <c r="D2414" i="1"/>
  <c r="D2413" i="1"/>
  <c r="D2411" i="1"/>
  <c r="D2412" i="1" s="1"/>
  <c r="D2410" i="1"/>
  <c r="D2409" i="1"/>
  <c r="D2408" i="1"/>
  <c r="D2407" i="1"/>
  <c r="D2406" i="1"/>
  <c r="D2405" i="1"/>
  <c r="D2404" i="1"/>
  <c r="D2399" i="1"/>
  <c r="D2394" i="1"/>
  <c r="D2390" i="1"/>
  <c r="D2382" i="1"/>
  <c r="D2381" i="1"/>
  <c r="D2380" i="1"/>
  <c r="D2379" i="1"/>
  <c r="D2378" i="1"/>
  <c r="D2377" i="1"/>
  <c r="D2376" i="1"/>
  <c r="D2375" i="1"/>
  <c r="D2373" i="1"/>
  <c r="D2371" i="1"/>
  <c r="D2370" i="1"/>
  <c r="D2368" i="1"/>
  <c r="D2367" i="1"/>
  <c r="D2366" i="1"/>
  <c r="D2364" i="1"/>
  <c r="D2363" i="1"/>
  <c r="D2362" i="1"/>
  <c r="D2361" i="1"/>
  <c r="D2360" i="1"/>
  <c r="D2359" i="1"/>
  <c r="D2358" i="1"/>
  <c r="D2357" i="1"/>
  <c r="D2352" i="1"/>
  <c r="D2353" i="1" s="1"/>
  <c r="D2350" i="1"/>
  <c r="D2351" i="1" s="1"/>
  <c r="D2349" i="1"/>
  <c r="D2348" i="1"/>
  <c r="D2346" i="1"/>
  <c r="D2347" i="1" s="1"/>
  <c r="D2344" i="1"/>
  <c r="D2345" i="1" s="1"/>
  <c r="D2342" i="1"/>
  <c r="D2341" i="1"/>
  <c r="D2337" i="1"/>
  <c r="D2336" i="1"/>
  <c r="D2332" i="1"/>
  <c r="D2333" i="1" s="1"/>
  <c r="D2330" i="1"/>
  <c r="D2331" i="1" s="1"/>
  <c r="D2329" i="1"/>
  <c r="D2328" i="1"/>
  <c r="D2326" i="1"/>
  <c r="D2327" i="1" s="1"/>
  <c r="D2324" i="1"/>
  <c r="D2325" i="1" s="1"/>
  <c r="D2322" i="1"/>
  <c r="D2321" i="1"/>
  <c r="D2317" i="1"/>
  <c r="D2316" i="1"/>
  <c r="D2312" i="1"/>
  <c r="D2310" i="1"/>
  <c r="D2304" i="1"/>
  <c r="D2292" i="1"/>
  <c r="D2264" i="1"/>
  <c r="D2262" i="1"/>
  <c r="D2260" i="1"/>
  <c r="D2258" i="1"/>
  <c r="D2257" i="1"/>
  <c r="D2256" i="1"/>
  <c r="D2233" i="1"/>
  <c r="D2234" i="1" s="1"/>
  <c r="D2231" i="1"/>
  <c r="D2232" i="1" s="1"/>
  <c r="D2230" i="1"/>
  <c r="D2229" i="1"/>
  <c r="D2227" i="1"/>
  <c r="D2228" i="1" s="1"/>
  <c r="D2226" i="1"/>
  <c r="D2225" i="1"/>
  <c r="D2224" i="1"/>
  <c r="D2223" i="1"/>
  <c r="D2222" i="1"/>
  <c r="D2221" i="1"/>
  <c r="D2220" i="1"/>
  <c r="D2211" i="1"/>
  <c r="D2206" i="1"/>
  <c r="D2199" i="1"/>
  <c r="D2196" i="1"/>
  <c r="D2191" i="1"/>
  <c r="D2188" i="1"/>
  <c r="D2175" i="1"/>
  <c r="D2176" i="1" s="1"/>
  <c r="D2173" i="1"/>
  <c r="D2174" i="1" s="1"/>
  <c r="D2172" i="1"/>
  <c r="D2171" i="1"/>
  <c r="D2169" i="1"/>
  <c r="D2170" i="1" s="1"/>
  <c r="D2166" i="1"/>
  <c r="D2165" i="1"/>
  <c r="D2161" i="1"/>
  <c r="D2162" i="1" s="1"/>
  <c r="D2159" i="1"/>
  <c r="D2160" i="1" s="1"/>
  <c r="D2158" i="1"/>
  <c r="D2157" i="1"/>
  <c r="D2155" i="1"/>
  <c r="D2156" i="1" s="1"/>
  <c r="D2150" i="1"/>
  <c r="D2151" i="1" s="1"/>
  <c r="D2148" i="1"/>
  <c r="D2149" i="1" s="1"/>
  <c r="D2147" i="1"/>
  <c r="D2146" i="1"/>
  <c r="D2144" i="1"/>
  <c r="D2145" i="1" s="1"/>
  <c r="D2141" i="1"/>
  <c r="D2140" i="1"/>
  <c r="D2134" i="1"/>
  <c r="D2135" i="1" s="1"/>
  <c r="D2131" i="1"/>
  <c r="D2130" i="1"/>
  <c r="D2129" i="1"/>
  <c r="D2128" i="1"/>
  <c r="D2136" i="1" s="1"/>
  <c r="D2127" i="1"/>
  <c r="D2126" i="1"/>
  <c r="D2125" i="1"/>
  <c r="D2120" i="1"/>
  <c r="D2121" i="1" s="1"/>
  <c r="D2119" i="1"/>
  <c r="D2118" i="1"/>
  <c r="D2115" i="1"/>
  <c r="D2114" i="1"/>
  <c r="D2113" i="1"/>
  <c r="D2112" i="1"/>
  <c r="D2111" i="1"/>
  <c r="D2110" i="1"/>
  <c r="D2109" i="1"/>
  <c r="D2106" i="1"/>
  <c r="D2104" i="1"/>
  <c r="D2105" i="1" s="1"/>
  <c r="D2103" i="1"/>
  <c r="D2099" i="1"/>
  <c r="D2098" i="1"/>
  <c r="D2097" i="1"/>
  <c r="D2096" i="1"/>
  <c r="D2095" i="1"/>
  <c r="D2094" i="1"/>
  <c r="D2093" i="1"/>
  <c r="D2087" i="1"/>
  <c r="D2085" i="1"/>
  <c r="D2083" i="1"/>
  <c r="D2082" i="1"/>
  <c r="D2081" i="1"/>
  <c r="D2079" i="1"/>
  <c r="D2074" i="1"/>
  <c r="D2063" i="1"/>
  <c r="D2036" i="1"/>
  <c r="D2034" i="1"/>
  <c r="D2032" i="1"/>
  <c r="D2030" i="1"/>
  <c r="D2029" i="1"/>
  <c r="D2028" i="1"/>
  <c r="D2016" i="1"/>
  <c r="D2017" i="1" s="1"/>
  <c r="D2014" i="1"/>
  <c r="D2015" i="1" s="1"/>
  <c r="D2013" i="1"/>
  <c r="D2012" i="1"/>
  <c r="D2010" i="1"/>
  <c r="D2011" i="1" s="1"/>
  <c r="D2009" i="1"/>
  <c r="D2008" i="1"/>
  <c r="D2007" i="1"/>
  <c r="D2006" i="1"/>
  <c r="D2005" i="1"/>
  <c r="D2004" i="1"/>
  <c r="D2003" i="1"/>
  <c r="D1993" i="1"/>
  <c r="D1992" i="1"/>
  <c r="D1989" i="1"/>
  <c r="D1984" i="1"/>
  <c r="D1973" i="1"/>
  <c r="D1974" i="1" s="1"/>
  <c r="D1971" i="1"/>
  <c r="D1972" i="1" s="1"/>
  <c r="D1970" i="1"/>
  <c r="D1969" i="1"/>
  <c r="D1967" i="1"/>
  <c r="D1968" i="1" s="1"/>
  <c r="D1965" i="1"/>
  <c r="D1966" i="1" s="1"/>
  <c r="D1963" i="1"/>
  <c r="D1958" i="1"/>
  <c r="D1952" i="1"/>
  <c r="D1953" i="1" s="1"/>
  <c r="D1950" i="1"/>
  <c r="D1951" i="1" s="1"/>
  <c r="D1949" i="1"/>
  <c r="D1948" i="1"/>
  <c r="D1946" i="1"/>
  <c r="D1947" i="1" s="1"/>
  <c r="D1944" i="1"/>
  <c r="D1945" i="1" s="1"/>
  <c r="D1942" i="1"/>
  <c r="D1941" i="1"/>
  <c r="D1937" i="1"/>
  <c r="D1936" i="1"/>
  <c r="D1934" i="1"/>
  <c r="D1933" i="1"/>
  <c r="D1930" i="1"/>
  <c r="D1928" i="1"/>
  <c r="D1922" i="1"/>
  <c r="D1911" i="1"/>
  <c r="D1886" i="1"/>
  <c r="D1884" i="1"/>
  <c r="D1882" i="1"/>
  <c r="D1880" i="1"/>
  <c r="D1879" i="1"/>
  <c r="D1878" i="1"/>
  <c r="D1866" i="1"/>
  <c r="D1867" i="1" s="1"/>
  <c r="D1864" i="1"/>
  <c r="D1865" i="1" s="1"/>
  <c r="D1863" i="1"/>
  <c r="D1862" i="1"/>
  <c r="D1860" i="1"/>
  <c r="D1861" i="1" s="1"/>
  <c r="D1859" i="1"/>
  <c r="D1858" i="1"/>
  <c r="D1857" i="1"/>
  <c r="D1856" i="1"/>
  <c r="D1855" i="1"/>
  <c r="D1854" i="1"/>
  <c r="D1853" i="1"/>
  <c r="D1844" i="1"/>
  <c r="D1840" i="1"/>
  <c r="D1831" i="1"/>
  <c r="D1832" i="1" s="1"/>
  <c r="D1829" i="1"/>
  <c r="D1830" i="1" s="1"/>
  <c r="D1828" i="1"/>
  <c r="D1827" i="1"/>
  <c r="D1825" i="1"/>
  <c r="D1826" i="1" s="1"/>
  <c r="D1823" i="1"/>
  <c r="D1824" i="1" s="1"/>
  <c r="D1821" i="1"/>
  <c r="D1816" i="1"/>
  <c r="D1810" i="1"/>
  <c r="D1811" i="1" s="1"/>
  <c r="D1808" i="1"/>
  <c r="D1809" i="1" s="1"/>
  <c r="D1807" i="1"/>
  <c r="D1806" i="1"/>
  <c r="D1804" i="1"/>
  <c r="D1805" i="1" s="1"/>
  <c r="D1802" i="1"/>
  <c r="D1803" i="1" s="1"/>
  <c r="D1800" i="1"/>
  <c r="D1799" i="1"/>
  <c r="D1795" i="1"/>
  <c r="D1794" i="1"/>
  <c r="D1792" i="1"/>
  <c r="D1791" i="1"/>
  <c r="D1788" i="1"/>
  <c r="D1786" i="1"/>
  <c r="D1780" i="1"/>
  <c r="D1772" i="1"/>
  <c r="D1756" i="1"/>
  <c r="D1754" i="1"/>
  <c r="D1752" i="1"/>
  <c r="D1750" i="1"/>
  <c r="D1749" i="1"/>
  <c r="D1748" i="1"/>
  <c r="D1745" i="1"/>
  <c r="D1746" i="1" s="1"/>
  <c r="D1743" i="1"/>
  <c r="D1744" i="1" s="1"/>
  <c r="D1742" i="1"/>
  <c r="D1741" i="1"/>
  <c r="D1739" i="1"/>
  <c r="D1740" i="1" s="1"/>
  <c r="D1737" i="1"/>
  <c r="D1732" i="1"/>
  <c r="D1726" i="1"/>
  <c r="D1727" i="1" s="1"/>
  <c r="D1724" i="1"/>
  <c r="D1725" i="1" s="1"/>
  <c r="D1723" i="1"/>
  <c r="D1722" i="1"/>
  <c r="D1720" i="1"/>
  <c r="D1721" i="1" s="1"/>
  <c r="D1718" i="1"/>
  <c r="D1717" i="1"/>
  <c r="D1713" i="1"/>
  <c r="D1712" i="1"/>
  <c r="D1710" i="1"/>
  <c r="D1709" i="1"/>
  <c r="D1707" i="1"/>
  <c r="D1705" i="1"/>
  <c r="D1699" i="1"/>
  <c r="D1700" i="1" s="1"/>
  <c r="E1692" i="1"/>
  <c r="D1692" i="1"/>
  <c r="E1691" i="1"/>
  <c r="D1691" i="1"/>
  <c r="E1690" i="1"/>
  <c r="D1690" i="1"/>
  <c r="D1686" i="1"/>
  <c r="D1685" i="1"/>
  <c r="D1684" i="1"/>
  <c r="D1681" i="1"/>
  <c r="E1671" i="1"/>
  <c r="D1671" i="1"/>
  <c r="E1670" i="1"/>
  <c r="D1670" i="1"/>
  <c r="D1652" i="1"/>
  <c r="D1650" i="1"/>
  <c r="D1648" i="1"/>
  <c r="D1646" i="1"/>
  <c r="D1645" i="1"/>
  <c r="D1644" i="1"/>
  <c r="D1633" i="1"/>
  <c r="D1631" i="1"/>
  <c r="D1627" i="1"/>
  <c r="D1620" i="1"/>
  <c r="D1616" i="1"/>
  <c r="D1609" i="1"/>
  <c r="D1603" i="1"/>
  <c r="D1597" i="1"/>
  <c r="D1598" i="1" s="1"/>
  <c r="D1595" i="1"/>
  <c r="D1596" i="1" s="1"/>
  <c r="D1594" i="1"/>
  <c r="D1593" i="1"/>
  <c r="D1591" i="1"/>
  <c r="D1592" i="1" s="1"/>
  <c r="D1588" i="1"/>
  <c r="D1587" i="1"/>
  <c r="D1584" i="1"/>
  <c r="D1583" i="1"/>
  <c r="D1581" i="1"/>
  <c r="D1579" i="1"/>
  <c r="D1566" i="1"/>
  <c r="D1555" i="1"/>
  <c r="D1535" i="1"/>
  <c r="D1524" i="1"/>
  <c r="D1498" i="1"/>
  <c r="D1496" i="1"/>
  <c r="D1494" i="1"/>
  <c r="D1492" i="1"/>
  <c r="D1491" i="1"/>
  <c r="D1490" i="1"/>
  <c r="D1487" i="1"/>
  <c r="D1488" i="1" s="1"/>
  <c r="D1485" i="1"/>
  <c r="D1486" i="1" s="1"/>
  <c r="D1484" i="1"/>
  <c r="D1483" i="1"/>
  <c r="D1481" i="1"/>
  <c r="D1482" i="1" s="1"/>
  <c r="D1479" i="1"/>
  <c r="D1478" i="1"/>
  <c r="D1477" i="1"/>
  <c r="D1472" i="1"/>
  <c r="D1471" i="1"/>
  <c r="D1469" i="1"/>
  <c r="D1467" i="1"/>
  <c r="D1459" i="1"/>
  <c r="D1460" i="1" s="1"/>
  <c r="D1457" i="1"/>
  <c r="D1458" i="1" s="1"/>
  <c r="D1456" i="1"/>
  <c r="D1455" i="1"/>
  <c r="D1453" i="1"/>
  <c r="D1454" i="1" s="1"/>
  <c r="D1451" i="1"/>
  <c r="D1446" i="1"/>
  <c r="D1440" i="1"/>
  <c r="D1441" i="1" s="1"/>
  <c r="D1438" i="1"/>
  <c r="D1439" i="1" s="1"/>
  <c r="D1437" i="1"/>
  <c r="D1436" i="1"/>
  <c r="D1434" i="1"/>
  <c r="D1435" i="1" s="1"/>
  <c r="D1432" i="1"/>
  <c r="D1431" i="1"/>
  <c r="D1426" i="1"/>
  <c r="D1425" i="1"/>
  <c r="D1423" i="1"/>
  <c r="D1420" i="1"/>
  <c r="D1410" i="1"/>
  <c r="E1397" i="1"/>
  <c r="D1397" i="1"/>
  <c r="E1396" i="1"/>
  <c r="D1396" i="1"/>
  <c r="D1375" i="1"/>
  <c r="D1373" i="1"/>
  <c r="D1371" i="1"/>
  <c r="D1369" i="1"/>
  <c r="D1368" i="1"/>
  <c r="D1367" i="1"/>
  <c r="D1351" i="1"/>
  <c r="D1352" i="1" s="1"/>
  <c r="D1349" i="1"/>
  <c r="D1350" i="1" s="1"/>
  <c r="D1348" i="1"/>
  <c r="D1347" i="1"/>
  <c r="D1345" i="1"/>
  <c r="D1346" i="1" s="1"/>
  <c r="D1344" i="1"/>
  <c r="D1343" i="1"/>
  <c r="D1342" i="1"/>
  <c r="D1341" i="1"/>
  <c r="D1340" i="1"/>
  <c r="D1339" i="1"/>
  <c r="D1338" i="1"/>
  <c r="D1333" i="1"/>
  <c r="D1330" i="1"/>
  <c r="D1324" i="1"/>
  <c r="D1313" i="1"/>
  <c r="D1312" i="1"/>
  <c r="D1311" i="1"/>
  <c r="D1309" i="1"/>
  <c r="D1308" i="1"/>
  <c r="D1307" i="1"/>
  <c r="D1306" i="1"/>
  <c r="D1305" i="1"/>
  <c r="D1301" i="1"/>
  <c r="D1302" i="1" s="1"/>
  <c r="D1299" i="1"/>
  <c r="D1300" i="1" s="1"/>
  <c r="D1298" i="1"/>
  <c r="D1297" i="1"/>
  <c r="D1295" i="1"/>
  <c r="D1296" i="1" s="1"/>
  <c r="D1291" i="1"/>
  <c r="D1290" i="1"/>
  <c r="D1284" i="1"/>
  <c r="E1283" i="1"/>
  <c r="D1283" i="1"/>
  <c r="D1281" i="1"/>
  <c r="D1279" i="1"/>
  <c r="D1271" i="1"/>
  <c r="D1256" i="1"/>
  <c r="D1213" i="1"/>
  <c r="D1214" i="1" s="1"/>
  <c r="D1211" i="1"/>
  <c r="D1212" i="1" s="1"/>
  <c r="D1210" i="1"/>
  <c r="D1209" i="1"/>
  <c r="D1207" i="1"/>
  <c r="D1208" i="1" s="1"/>
  <c r="D1206" i="1"/>
  <c r="D1205" i="1"/>
  <c r="D1204" i="1"/>
  <c r="D1203" i="1"/>
  <c r="D1202" i="1"/>
  <c r="D1201" i="1"/>
  <c r="D1200" i="1"/>
  <c r="D1194" i="1"/>
  <c r="D1189" i="1"/>
  <c r="D1186" i="1"/>
  <c r="D1180" i="1"/>
  <c r="D1165" i="1"/>
  <c r="D1159" i="1"/>
  <c r="D1152" i="1"/>
  <c r="D1151" i="1"/>
  <c r="D1150" i="1"/>
  <c r="D1149" i="1"/>
  <c r="D1148" i="1"/>
  <c r="D1147" i="1"/>
  <c r="D1146" i="1"/>
  <c r="D1145" i="1"/>
  <c r="D1144" i="1"/>
  <c r="D1143" i="1"/>
  <c r="D1141" i="1"/>
  <c r="D1137" i="1"/>
  <c r="D1135" i="1"/>
  <c r="D1134" i="1"/>
  <c r="D1131" i="1"/>
  <c r="D1127" i="1"/>
  <c r="D1126" i="1"/>
  <c r="D1125" i="1"/>
  <c r="D1124" i="1"/>
  <c r="D1123" i="1"/>
  <c r="D1119" i="1"/>
  <c r="D1118" i="1"/>
  <c r="D1117" i="1"/>
  <c r="D1116" i="1"/>
  <c r="D1115" i="1"/>
  <c r="D1114" i="1"/>
  <c r="D1113" i="1"/>
  <c r="D1110" i="1"/>
  <c r="D1109" i="1"/>
  <c r="D1108" i="1"/>
  <c r="D1107" i="1"/>
  <c r="D1106" i="1"/>
  <c r="D1104" i="1"/>
  <c r="D1103" i="1"/>
  <c r="D1100" i="1"/>
  <c r="D1096" i="1"/>
  <c r="D1094" i="1"/>
  <c r="D1093" i="1"/>
  <c r="D1087" i="1"/>
  <c r="D1086" i="1"/>
  <c r="D1081" i="1"/>
  <c r="D1080" i="1"/>
  <c r="D1076" i="1"/>
  <c r="D1057" i="1"/>
  <c r="D1034" i="1"/>
  <c r="D1032" i="1"/>
  <c r="D1030" i="1"/>
  <c r="D1028" i="1"/>
  <c r="D1027" i="1"/>
  <c r="D1026" i="1"/>
  <c r="D999" i="1"/>
  <c r="D1000" i="1" s="1"/>
  <c r="D997" i="1"/>
  <c r="D998" i="1" s="1"/>
  <c r="D996" i="1"/>
  <c r="D995" i="1"/>
  <c r="D993" i="1"/>
  <c r="D994" i="1" s="1"/>
  <c r="D992" i="1"/>
  <c r="D991" i="1"/>
  <c r="D990" i="1"/>
  <c r="D989" i="1"/>
  <c r="D988" i="1"/>
  <c r="D987" i="1"/>
  <c r="D986" i="1"/>
  <c r="D977" i="1"/>
  <c r="D973" i="1"/>
  <c r="D968" i="1"/>
  <c r="D961" i="1"/>
  <c r="D956" i="1"/>
  <c r="D951" i="1"/>
  <c r="D945" i="1"/>
  <c r="D923" i="1"/>
  <c r="D924" i="1" s="1"/>
  <c r="D921" i="1"/>
  <c r="D922" i="1" s="1"/>
  <c r="D920" i="1"/>
  <c r="D919" i="1"/>
  <c r="D917" i="1"/>
  <c r="D918" i="1" s="1"/>
  <c r="D914" i="1"/>
  <c r="D912" i="1"/>
  <c r="D908" i="1"/>
  <c r="D903" i="1"/>
  <c r="D904" i="1" s="1"/>
  <c r="D901" i="1"/>
  <c r="D902" i="1" s="1"/>
  <c r="D900" i="1"/>
  <c r="D899" i="1"/>
  <c r="D897" i="1"/>
  <c r="D898" i="1" s="1"/>
  <c r="D896" i="1"/>
  <c r="D895" i="1"/>
  <c r="D892" i="1"/>
  <c r="D888" i="1"/>
  <c r="D889" i="1" s="1"/>
  <c r="D886" i="1"/>
  <c r="D887" i="1" s="1"/>
  <c r="D885" i="1"/>
  <c r="D884" i="1"/>
  <c r="D882" i="1"/>
  <c r="D883" i="1" s="1"/>
  <c r="D880" i="1"/>
  <c r="D876" i="1"/>
  <c r="D877" i="1" s="1"/>
  <c r="D874" i="1"/>
  <c r="D875" i="1" s="1"/>
  <c r="D873" i="1"/>
  <c r="D872" i="1"/>
  <c r="D870" i="1"/>
  <c r="D871" i="1" s="1"/>
  <c r="D868" i="1"/>
  <c r="D864" i="1"/>
  <c r="D865" i="1" s="1"/>
  <c r="D862" i="1"/>
  <c r="D863" i="1" s="1"/>
  <c r="D861" i="1"/>
  <c r="D860" i="1"/>
  <c r="D858" i="1"/>
  <c r="D859" i="1" s="1"/>
  <c r="D857" i="1"/>
  <c r="D856" i="1"/>
  <c r="D852" i="1"/>
  <c r="D853" i="1" s="1"/>
  <c r="D850" i="1"/>
  <c r="D851" i="1" s="1"/>
  <c r="D849" i="1"/>
  <c r="D848" i="1"/>
  <c r="D846" i="1"/>
  <c r="D847" i="1" s="1"/>
  <c r="D844" i="1"/>
  <c r="D843" i="1"/>
  <c r="D839" i="1"/>
  <c r="D838" i="1"/>
  <c r="D832" i="1"/>
  <c r="D833" i="1" s="1"/>
  <c r="D830" i="1"/>
  <c r="D831" i="1" s="1"/>
  <c r="D829" i="1"/>
  <c r="D828" i="1"/>
  <c r="D826" i="1"/>
  <c r="D827" i="1" s="1"/>
  <c r="D821" i="1"/>
  <c r="D822" i="1" s="1"/>
  <c r="D819" i="1"/>
  <c r="D820" i="1" s="1"/>
  <c r="D818" i="1"/>
  <c r="D817" i="1"/>
  <c r="D815" i="1"/>
  <c r="D816" i="1" s="1"/>
  <c r="D812" i="1"/>
  <c r="D811" i="1"/>
  <c r="D802" i="1"/>
  <c r="D801" i="1"/>
  <c r="D799" i="1"/>
  <c r="D797" i="1"/>
  <c r="D769" i="1"/>
  <c r="D767" i="1"/>
  <c r="D760" i="1"/>
  <c r="D758" i="1"/>
  <c r="D754" i="1"/>
  <c r="D751" i="1"/>
  <c r="D749" i="1"/>
  <c r="D748" i="1"/>
  <c r="D747" i="1"/>
  <c r="D745" i="1"/>
  <c r="D743" i="1"/>
  <c r="D742" i="1"/>
  <c r="D715" i="1"/>
  <c r="D713" i="1"/>
  <c r="E711" i="1"/>
  <c r="D711" i="1"/>
  <c r="D709" i="1"/>
  <c r="D708" i="1"/>
  <c r="D707" i="1"/>
  <c r="D700" i="1"/>
  <c r="D692" i="1"/>
  <c r="D693" i="1" s="1"/>
  <c r="D690" i="1"/>
  <c r="D691" i="1" s="1"/>
  <c r="D689" i="1"/>
  <c r="D688" i="1"/>
  <c r="D686" i="1"/>
  <c r="D687" i="1" s="1"/>
  <c r="D678" i="1"/>
  <c r="D675" i="1"/>
  <c r="D672" i="1"/>
  <c r="D658" i="1"/>
  <c r="D656" i="1"/>
  <c r="D654" i="1"/>
  <c r="D652" i="1"/>
  <c r="D651" i="1"/>
  <c r="D650" i="1"/>
  <c r="D643" i="1"/>
  <c r="D641" i="1"/>
  <c r="D639" i="1"/>
  <c r="D638" i="1"/>
  <c r="D636" i="1"/>
  <c r="E635" i="1"/>
  <c r="D635" i="1"/>
  <c r="E634" i="1"/>
  <c r="D634" i="1"/>
  <c r="D632" i="1"/>
  <c r="D630" i="1"/>
  <c r="D629" i="1"/>
  <c r="D596" i="1"/>
  <c r="D595" i="1"/>
  <c r="D594" i="1"/>
  <c r="D593" i="1"/>
  <c r="D592" i="1"/>
  <c r="D591" i="1"/>
  <c r="D590" i="1"/>
  <c r="D589" i="1"/>
  <c r="D586" i="1"/>
  <c r="D585" i="1"/>
  <c r="D584" i="1"/>
  <c r="D582" i="1"/>
  <c r="D581" i="1"/>
  <c r="D577" i="1"/>
  <c r="D576" i="1"/>
  <c r="D575" i="1"/>
  <c r="D574" i="1"/>
  <c r="D573" i="1"/>
  <c r="D572" i="1"/>
  <c r="D571" i="1"/>
  <c r="D570" i="1"/>
  <c r="D568" i="1"/>
  <c r="D567" i="1"/>
  <c r="D565" i="1"/>
  <c r="D559" i="1"/>
  <c r="D557" i="1"/>
  <c r="D552" i="1"/>
  <c r="D550" i="1"/>
  <c r="D543" i="1"/>
  <c r="D542" i="1"/>
  <c r="D541" i="1"/>
  <c r="D531" i="1"/>
  <c r="D526" i="1"/>
  <c r="D524" i="1"/>
  <c r="D521" i="1"/>
  <c r="D522" i="1" s="1"/>
  <c r="D519" i="1"/>
  <c r="D520" i="1" s="1"/>
  <c r="D518" i="1"/>
  <c r="D517" i="1"/>
  <c r="D515" i="1"/>
  <c r="D516" i="1" s="1"/>
  <c r="D504" i="1"/>
  <c r="D505" i="1" s="1"/>
  <c r="D503" i="1"/>
  <c r="D502" i="1"/>
  <c r="D501" i="1"/>
  <c r="D500" i="1"/>
  <c r="D499" i="1"/>
  <c r="D498" i="1"/>
  <c r="D496" i="1"/>
  <c r="H495" i="1"/>
  <c r="D495" i="1"/>
  <c r="D494" i="1"/>
  <c r="D492" i="1"/>
  <c r="D432" i="1"/>
  <c r="D431" i="1"/>
  <c r="D430" i="1"/>
  <c r="E401" i="1"/>
  <c r="D401" i="1"/>
  <c r="E400" i="1"/>
  <c r="D400" i="1"/>
  <c r="D368" i="1"/>
  <c r="D364" i="1"/>
  <c r="D365" i="1" s="1"/>
  <c r="D362" i="1"/>
  <c r="D363" i="1" s="1"/>
  <c r="D361" i="1"/>
  <c r="D360" i="1"/>
  <c r="D358" i="1"/>
  <c r="D359" i="1" s="1"/>
  <c r="D357" i="1"/>
  <c r="D352" i="1"/>
  <c r="D351" i="1"/>
  <c r="D350" i="1"/>
  <c r="D347" i="1"/>
  <c r="D342" i="1"/>
  <c r="D336" i="1"/>
  <c r="D335" i="1"/>
  <c r="D334" i="1"/>
  <c r="D333" i="1"/>
  <c r="D332" i="1"/>
  <c r="D331" i="1"/>
  <c r="D330" i="1"/>
  <c r="D329" i="1"/>
  <c r="H327" i="1"/>
  <c r="D327" i="1"/>
  <c r="D326" i="1"/>
  <c r="D323" i="1"/>
  <c r="H322" i="1"/>
  <c r="D322" i="1"/>
  <c r="D321" i="1"/>
  <c r="D319" i="1"/>
  <c r="D318" i="1"/>
  <c r="D317" i="1"/>
  <c r="D315" i="1"/>
  <c r="D308" i="1"/>
  <c r="D309" i="1" s="1"/>
  <c r="D306" i="1"/>
  <c r="D307" i="1" s="1"/>
  <c r="D305" i="1"/>
  <c r="D304" i="1"/>
  <c r="D302" i="1"/>
  <c r="D303" i="1" s="1"/>
  <c r="D293" i="1"/>
  <c r="D291" i="1"/>
  <c r="D280" i="1"/>
  <c r="D279" i="1"/>
  <c r="D278" i="1"/>
  <c r="D277" i="1"/>
  <c r="D276" i="1"/>
  <c r="D275" i="1"/>
  <c r="D274" i="1"/>
  <c r="D273" i="1"/>
  <c r="D271" i="1"/>
  <c r="D268" i="1"/>
  <c r="D266" i="1"/>
  <c r="D265" i="1"/>
  <c r="D264" i="1"/>
  <c r="D262" i="1"/>
  <c r="D261" i="1"/>
  <c r="D260" i="1"/>
  <c r="D259" i="1"/>
  <c r="D258" i="1"/>
  <c r="D257" i="1"/>
  <c r="D256" i="1"/>
  <c r="D255" i="1"/>
  <c r="D251" i="1"/>
  <c r="D250" i="1"/>
  <c r="D249" i="1"/>
  <c r="D248" i="1"/>
  <c r="D247" i="1"/>
  <c r="D246" i="1"/>
  <c r="D245" i="1"/>
  <c r="D244" i="1"/>
  <c r="D242" i="1"/>
  <c r="D241" i="1"/>
  <c r="D237" i="1"/>
  <c r="D236" i="1"/>
  <c r="D231" i="1"/>
  <c r="D230" i="1"/>
  <c r="D229" i="1"/>
  <c r="D227" i="1"/>
  <c r="D213" i="1"/>
  <c r="D214" i="1" s="1"/>
  <c r="D211" i="1"/>
  <c r="D212" i="1" s="1"/>
  <c r="D210" i="1"/>
  <c r="D209" i="1"/>
  <c r="D207" i="1"/>
  <c r="D208" i="1" s="1"/>
  <c r="D202" i="1"/>
  <c r="D198" i="1"/>
  <c r="D189" i="1"/>
  <c r="D188" i="1"/>
  <c r="D187" i="1"/>
  <c r="D186" i="1"/>
  <c r="D185" i="1"/>
  <c r="D184" i="1"/>
  <c r="D183" i="1"/>
  <c r="D182" i="1"/>
  <c r="D180" i="1"/>
  <c r="D175" i="1"/>
  <c r="D170" i="1"/>
  <c r="D163" i="1"/>
  <c r="D162" i="1"/>
  <c r="D161" i="1"/>
  <c r="D160" i="1"/>
  <c r="D159" i="1"/>
  <c r="D158" i="1"/>
  <c r="D157" i="1"/>
  <c r="D156" i="1"/>
  <c r="D149" i="1"/>
  <c r="D148" i="1"/>
  <c r="D145" i="1"/>
  <c r="D144" i="1"/>
  <c r="D143" i="1"/>
  <c r="D142" i="1"/>
  <c r="D141" i="1"/>
  <c r="D140" i="1"/>
  <c r="D139" i="1"/>
  <c r="D138" i="1"/>
  <c r="D137" i="1"/>
  <c r="E135" i="1"/>
  <c r="D133" i="1"/>
  <c r="E131" i="1"/>
  <c r="D126" i="1"/>
  <c r="D127" i="1" s="1"/>
  <c r="D124" i="1"/>
  <c r="D125" i="1" s="1"/>
  <c r="D123" i="1"/>
  <c r="D122" i="1"/>
  <c r="D120" i="1"/>
  <c r="D121" i="1" s="1"/>
  <c r="D118" i="1"/>
  <c r="D117" i="1"/>
  <c r="D110" i="1"/>
  <c r="D109" i="1"/>
  <c r="D108" i="1"/>
  <c r="D106" i="1"/>
  <c r="D101" i="1"/>
  <c r="D100" i="1"/>
  <c r="D99" i="1"/>
  <c r="D98" i="1"/>
  <c r="D97" i="1"/>
  <c r="D96" i="1"/>
  <c r="D95" i="1"/>
  <c r="D94" i="1"/>
  <c r="D91" i="1"/>
  <c r="D90" i="1"/>
  <c r="D89" i="1"/>
  <c r="D87" i="1"/>
  <c r="D86" i="1"/>
  <c r="D82" i="1"/>
  <c r="D81" i="1"/>
  <c r="D80" i="1"/>
  <c r="D79" i="1"/>
  <c r="D78" i="1"/>
  <c r="D77" i="1"/>
  <c r="D76" i="1"/>
  <c r="D75" i="1"/>
  <c r="D73" i="1"/>
  <c r="D72" i="1"/>
  <c r="D70" i="1"/>
  <c r="D64" i="1"/>
  <c r="D62" i="1"/>
  <c r="D57" i="1"/>
  <c r="D55" i="1"/>
  <c r="D50" i="1"/>
  <c r="D46" i="1"/>
  <c r="D45" i="1"/>
  <c r="D42" i="1"/>
  <c r="D41" i="1"/>
  <c r="D38" i="1"/>
  <c r="D33" i="1"/>
  <c r="D31" i="1"/>
  <c r="D24" i="1"/>
  <c r="D19" i="1"/>
  <c r="A17" i="1"/>
  <c r="A18" i="1" s="1"/>
  <c r="A19" i="1" s="1"/>
  <c r="A20" i="1" s="1"/>
  <c r="A22" i="1" s="1"/>
  <c r="A23" i="1" s="1"/>
  <c r="A24" i="1" s="1"/>
  <c r="A25" i="1" s="1"/>
  <c r="A26" i="1" s="1"/>
  <c r="A27" i="1" s="1"/>
  <c r="A30" i="1" s="1"/>
  <c r="A32" i="1" s="1"/>
  <c r="A36" i="1" s="1"/>
  <c r="A40" i="1" s="1"/>
  <c r="A44" i="1" s="1"/>
  <c r="A48" i="1" s="1"/>
  <c r="A54" i="1" s="1"/>
  <c r="A56" i="1" s="1"/>
  <c r="A58" i="1" s="1"/>
  <c r="A61" i="1" s="1"/>
  <c r="A63" i="1" s="1"/>
  <c r="A65" i="1" s="1"/>
  <c r="A68" i="1" s="1"/>
  <c r="A69" i="1" s="1"/>
  <c r="A71" i="1" s="1"/>
  <c r="A74" i="1" s="1"/>
  <c r="A75" i="1" s="1"/>
  <c r="A77" i="1" s="1"/>
  <c r="A78" i="1" s="1"/>
  <c r="A79" i="1" s="1"/>
  <c r="A81" i="1" s="1"/>
  <c r="A85" i="1" s="1"/>
  <c r="A86" i="1" s="1"/>
  <c r="A88" i="1" s="1"/>
  <c r="A92" i="1" s="1"/>
  <c r="A93" i="1" s="1"/>
  <c r="A94" i="1" s="1"/>
  <c r="A96" i="1" s="1"/>
  <c r="A97" i="1" s="1"/>
  <c r="A98" i="1" s="1"/>
  <c r="A100" i="1" s="1"/>
  <c r="A104" i="1" s="1"/>
  <c r="A105" i="1" s="1"/>
  <c r="A107" i="1" s="1"/>
  <c r="A111" i="1" s="1"/>
  <c r="A113" i="1" s="1"/>
  <c r="A117" i="1" s="1"/>
  <c r="A120" i="1" s="1"/>
  <c r="A122" i="1" s="1"/>
  <c r="A123" i="1" s="1"/>
  <c r="A124" i="1" s="1"/>
  <c r="A126" i="1" s="1"/>
  <c r="A130" i="1" s="1"/>
  <c r="A132" i="1" s="1"/>
  <c r="A134" i="1" s="1"/>
  <c r="A136" i="1" s="1"/>
  <c r="A146" i="1" s="1"/>
  <c r="A147" i="1" s="1"/>
  <c r="A150" i="1" s="1"/>
  <c r="A151" i="1" s="1"/>
  <c r="A153" i="1" s="1"/>
  <c r="A154" i="1" s="1"/>
  <c r="A156" i="1" s="1"/>
  <c r="A158" i="1" s="1"/>
  <c r="A159" i="1" s="1"/>
  <c r="A160" i="1" s="1"/>
  <c r="A162" i="1" s="1"/>
  <c r="A166" i="1" s="1"/>
  <c r="A169" i="1" s="1"/>
  <c r="A172" i="1" s="1"/>
  <c r="A174" i="1" s="1"/>
  <c r="A177" i="1" s="1"/>
  <c r="A179" i="1" s="1"/>
  <c r="A181" i="1" s="1"/>
  <c r="A182" i="1" s="1"/>
  <c r="A184" i="1" s="1"/>
  <c r="A185" i="1" s="1"/>
  <c r="A186" i="1" s="1"/>
  <c r="A188" i="1" s="1"/>
  <c r="A191" i="1" s="1"/>
  <c r="A192" i="1" s="1"/>
  <c r="A193" i="1" s="1"/>
  <c r="A195" i="1" s="1"/>
  <c r="A197" i="1" s="1"/>
  <c r="A201" i="1" s="1"/>
  <c r="A204" i="1" s="1"/>
  <c r="A207" i="1" s="1"/>
  <c r="A209" i="1" s="1"/>
  <c r="A210" i="1" s="1"/>
  <c r="A211" i="1" s="1"/>
  <c r="A213" i="1" s="1"/>
  <c r="A217" i="1" s="1"/>
  <c r="A220" i="1" s="1"/>
  <c r="A222" i="1" s="1"/>
  <c r="A224" i="1" s="1"/>
  <c r="A226" i="1" s="1"/>
  <c r="A228" i="1" s="1"/>
  <c r="A230" i="1" s="1"/>
  <c r="A233" i="1" s="1"/>
  <c r="A235" i="1" s="1"/>
  <c r="A238" i="1" s="1"/>
  <c r="A240" i="1" s="1"/>
  <c r="A243" i="1" s="1"/>
  <c r="A244" i="1" s="1"/>
  <c r="A246" i="1" s="1"/>
  <c r="A247" i="1" s="1"/>
  <c r="A248" i="1" s="1"/>
  <c r="A250" i="1" s="1"/>
  <c r="A254" i="1" s="1"/>
  <c r="A263" i="1" s="1"/>
  <c r="A264" i="1" s="1"/>
  <c r="A266" i="1" s="1"/>
  <c r="A268" i="1" s="1"/>
  <c r="A270" i="1" s="1"/>
  <c r="A272" i="1" s="1"/>
  <c r="A273" i="1" s="1"/>
  <c r="A275" i="1" s="1"/>
  <c r="A276" i="1" s="1"/>
  <c r="A277" i="1" s="1"/>
  <c r="A279" i="1" s="1"/>
  <c r="A282" i="1" s="1"/>
  <c r="A284" i="1" s="1"/>
  <c r="A285" i="1" s="1"/>
  <c r="A287" i="1" s="1"/>
  <c r="A290" i="1" s="1"/>
  <c r="A292" i="1" s="1"/>
  <c r="A299" i="1" s="1"/>
  <c r="A302" i="1" s="1"/>
  <c r="A304" i="1" s="1"/>
  <c r="A305" i="1" s="1"/>
  <c r="A306" i="1" s="1"/>
  <c r="A308" i="1" s="1"/>
  <c r="A312" i="1" s="1"/>
  <c r="A313" i="1" s="1"/>
  <c r="A314" i="1" s="1"/>
  <c r="A316" i="1" s="1"/>
  <c r="A320" i="1" s="1"/>
  <c r="A324" i="1" s="1"/>
  <c r="A325" i="1" s="1"/>
  <c r="A328" i="1" s="1"/>
  <c r="A329" i="1" s="1"/>
  <c r="A331" i="1" s="1"/>
  <c r="A332" i="1" s="1"/>
  <c r="A333" i="1" s="1"/>
  <c r="A335" i="1" s="1"/>
  <c r="A338" i="1" s="1"/>
  <c r="A341" i="1" s="1"/>
  <c r="A344" i="1" s="1"/>
  <c r="A346" i="1" s="1"/>
  <c r="A350" i="1" s="1"/>
  <c r="A351" i="1" s="1"/>
  <c r="A355" i="1" s="1"/>
  <c r="A357" i="1" s="1"/>
  <c r="A358" i="1" s="1"/>
  <c r="A360" i="1" s="1"/>
  <c r="A361" i="1" s="1"/>
  <c r="A362" i="1" s="1"/>
  <c r="A364" i="1" s="1"/>
  <c r="A367" i="1" s="1"/>
  <c r="A377" i="1" s="1"/>
  <c r="A382" i="1" s="1"/>
  <c r="A384" i="1" s="1"/>
  <c r="A385" i="1" s="1"/>
  <c r="A387" i="1" s="1"/>
  <c r="A389" i="1" s="1"/>
  <c r="A391" i="1" s="1"/>
  <c r="A393" i="1" s="1"/>
  <c r="A395" i="1" s="1"/>
  <c r="A399" i="1" s="1"/>
  <c r="A402" i="1" s="1"/>
  <c r="A404" i="1" s="1"/>
  <c r="A407" i="1" s="1"/>
  <c r="A410" i="1" s="1"/>
  <c r="A412" i="1" s="1"/>
  <c r="A420" i="1" s="1"/>
  <c r="A421" i="1" s="1"/>
  <c r="A422" i="1" s="1"/>
  <c r="A423" i="1" s="1"/>
  <c r="A424" i="1" s="1"/>
  <c r="A425" i="1" s="1"/>
  <c r="A426" i="1" s="1"/>
  <c r="A427" i="1" s="1"/>
  <c r="A430" i="1" s="1"/>
  <c r="A431" i="1" s="1"/>
  <c r="A432" i="1" s="1"/>
  <c r="A433" i="1" s="1"/>
  <c r="A435" i="1" s="1"/>
  <c r="A437" i="1" s="1"/>
  <c r="A439" i="1" s="1"/>
  <c r="A448" i="1" s="1"/>
  <c r="A450" i="1" s="1"/>
  <c r="A453" i="1" s="1"/>
  <c r="A455" i="1" s="1"/>
  <c r="A458" i="1" s="1"/>
  <c r="A460" i="1" s="1"/>
  <c r="A463" i="1" s="1"/>
  <c r="A465" i="1" s="1"/>
  <c r="A467" i="1" s="1"/>
  <c r="A470" i="1" s="1"/>
  <c r="A472" i="1" s="1"/>
  <c r="A474" i="1" s="1"/>
  <c r="A478" i="1" s="1"/>
  <c r="A480" i="1" s="1"/>
  <c r="A483" i="1" s="1"/>
  <c r="A485" i="1" s="1"/>
  <c r="A486" i="1" s="1"/>
  <c r="A490" i="1" s="1"/>
  <c r="A491" i="1" s="1"/>
  <c r="A493" i="1" s="1"/>
  <c r="A497" i="1" s="1"/>
  <c r="A498" i="1" s="1"/>
  <c r="A500" i="1" s="1"/>
  <c r="A501" i="1" s="1"/>
  <c r="A502" i="1" s="1"/>
  <c r="A504" i="1" s="1"/>
  <c r="A507" i="1" s="1"/>
  <c r="A509" i="1" s="1"/>
  <c r="A511" i="1" s="1"/>
  <c r="A513" i="1" s="1"/>
  <c r="A515" i="1" s="1"/>
  <c r="A517" i="1" s="1"/>
  <c r="A518" i="1" s="1"/>
  <c r="A519" i="1" s="1"/>
  <c r="A521" i="1" s="1"/>
  <c r="A523" i="1" s="1"/>
  <c r="A525" i="1" s="1"/>
  <c r="A527" i="1" s="1"/>
  <c r="A530" i="1" s="1"/>
  <c r="A540" i="1" s="1"/>
  <c r="A541" i="1" s="1"/>
  <c r="A543" i="1" s="1"/>
  <c r="A549" i="1" s="1"/>
  <c r="A551" i="1" s="1"/>
  <c r="A553" i="1" s="1"/>
  <c r="A556" i="1" s="1"/>
  <c r="A558" i="1" s="1"/>
  <c r="A560" i="1" s="1"/>
  <c r="A563" i="1" s="1"/>
  <c r="A564" i="1" s="1"/>
  <c r="A566" i="1" s="1"/>
  <c r="A569" i="1" s="1"/>
  <c r="A570" i="1" s="1"/>
  <c r="A572" i="1" s="1"/>
  <c r="A573" i="1" s="1"/>
  <c r="A574" i="1" s="1"/>
  <c r="A576" i="1" s="1"/>
  <c r="A580" i="1" s="1"/>
  <c r="A581" i="1" s="1"/>
  <c r="A583" i="1" s="1"/>
  <c r="A587" i="1" s="1"/>
  <c r="A588" i="1" s="1"/>
  <c r="A589" i="1" s="1"/>
  <c r="A591" i="1" s="1"/>
  <c r="A592" i="1" s="1"/>
  <c r="A593" i="1" s="1"/>
  <c r="A595" i="1" s="1"/>
  <c r="A599" i="1" s="1"/>
  <c r="A601" i="1" s="1"/>
  <c r="A604" i="1" s="1"/>
  <c r="A606" i="1" s="1"/>
  <c r="A609" i="1" s="1"/>
  <c r="A611" i="1" s="1"/>
  <c r="A613" i="1" s="1"/>
  <c r="A615" i="1" s="1"/>
  <c r="A619" i="1" s="1"/>
  <c r="A621" i="1" s="1"/>
  <c r="A623" i="1" s="1"/>
  <c r="A624" i="1" s="1"/>
  <c r="A628" i="1" s="1"/>
  <c r="A629" i="1" s="1"/>
  <c r="A630" i="1" s="1"/>
  <c r="A631" i="1" s="1"/>
  <c r="A633" i="1" s="1"/>
  <c r="A637" i="1" s="1"/>
  <c r="A639" i="1" s="1"/>
  <c r="A640" i="1" s="1"/>
  <c r="A642" i="1" s="1"/>
  <c r="A644" i="1" s="1"/>
  <c r="A647" i="1" s="1"/>
  <c r="A650" i="1" s="1"/>
  <c r="A651" i="1" s="1"/>
  <c r="A652" i="1" s="1"/>
  <c r="A653" i="1" s="1"/>
  <c r="A655" i="1" s="1"/>
  <c r="A657" i="1" s="1"/>
  <c r="A659" i="1" s="1"/>
  <c r="A667" i="1" s="1"/>
  <c r="A669" i="1" s="1"/>
  <c r="A671" i="1" s="1"/>
  <c r="A674" i="1" s="1"/>
  <c r="A677" i="1" s="1"/>
  <c r="A682" i="1" s="1"/>
  <c r="A686" i="1" s="1"/>
  <c r="A688" i="1" s="1"/>
  <c r="A689" i="1" s="1"/>
  <c r="A690" i="1" s="1"/>
  <c r="A692" i="1" s="1"/>
  <c r="A694" i="1" s="1"/>
  <c r="A696" i="1" s="1"/>
  <c r="A699" i="1" s="1"/>
  <c r="A707" i="1" s="1"/>
  <c r="A708" i="1" s="1"/>
  <c r="A709" i="1" s="1"/>
  <c r="A710" i="1" s="1"/>
  <c r="A712" i="1" s="1"/>
  <c r="A714" i="1" s="1"/>
  <c r="A716" i="1" s="1"/>
  <c r="A723" i="1" s="1"/>
  <c r="A734" i="1" s="1"/>
  <c r="A736" i="1" s="1"/>
  <c r="A741" i="1" s="1"/>
  <c r="A742" i="1" s="1"/>
  <c r="A743" i="1" s="1"/>
  <c r="A744" i="1" s="1"/>
  <c r="A746" i="1" s="1"/>
  <c r="A750" i="1" s="1"/>
  <c r="A753" i="1" s="1"/>
  <c r="A755" i="1" s="1"/>
  <c r="A756" i="1" s="1"/>
  <c r="A757" i="1" s="1"/>
  <c r="A759" i="1" s="1"/>
  <c r="A761" i="1" s="1"/>
  <c r="A763" i="1" s="1"/>
  <c r="A766" i="1" s="1"/>
  <c r="A768" i="1" s="1"/>
  <c r="A770" i="1" s="1"/>
  <c r="A776" i="1" s="1"/>
  <c r="A777" i="1" s="1"/>
  <c r="A779" i="1" s="1"/>
  <c r="A785" i="1" s="1"/>
  <c r="A787" i="1" s="1"/>
  <c r="A791" i="1" s="1"/>
  <c r="A795" i="1" s="1"/>
  <c r="A798" i="1" s="1"/>
  <c r="A800" i="1" s="1"/>
  <c r="A803" i="1" s="1"/>
  <c r="A804" i="1" s="1"/>
  <c r="A807" i="1" s="1"/>
  <c r="A810" i="1" s="1"/>
  <c r="A813" i="1" s="1"/>
  <c r="A815" i="1" s="1"/>
  <c r="A817" i="1" s="1"/>
  <c r="A818" i="1" s="1"/>
  <c r="A819" i="1" s="1"/>
  <c r="A821" i="1" s="1"/>
  <c r="A824" i="1" s="1"/>
  <c r="A826" i="1" s="1"/>
  <c r="A828" i="1" s="1"/>
  <c r="A829" i="1" s="1"/>
  <c r="A830" i="1" s="1"/>
  <c r="A832" i="1" s="1"/>
  <c r="A835" i="1" s="1"/>
  <c r="A837" i="1" s="1"/>
  <c r="A840" i="1" s="1"/>
  <c r="A842" i="1" s="1"/>
  <c r="A845" i="1" s="1"/>
  <c r="A846" i="1" s="1"/>
  <c r="A848" i="1" s="1"/>
  <c r="A849" i="1" s="1"/>
  <c r="A850" i="1" s="1"/>
  <c r="A852" i="1" s="1"/>
  <c r="A855" i="1" s="1"/>
  <c r="A858" i="1" s="1"/>
  <c r="A860" i="1" s="1"/>
  <c r="A861" i="1" s="1"/>
  <c r="A862" i="1" s="1"/>
  <c r="A864" i="1" s="1"/>
  <c r="A868" i="1" s="1"/>
  <c r="A870" i="1" s="1"/>
  <c r="A872" i="1" s="1"/>
  <c r="A873" i="1" s="1"/>
  <c r="A874" i="1" s="1"/>
  <c r="A876" i="1" s="1"/>
  <c r="A880" i="1" s="1"/>
  <c r="A882" i="1" s="1"/>
  <c r="A884" i="1" s="1"/>
  <c r="A885" i="1" s="1"/>
  <c r="A886" i="1" s="1"/>
  <c r="A888" i="1" s="1"/>
  <c r="A892" i="1" s="1"/>
  <c r="A894" i="1" s="1"/>
  <c r="A897" i="1" s="1"/>
  <c r="A899" i="1" s="1"/>
  <c r="A900" i="1" s="1"/>
  <c r="A901" i="1" s="1"/>
  <c r="A903" i="1" s="1"/>
  <c r="A907" i="1" s="1"/>
  <c r="A909" i="1" s="1"/>
  <c r="A910" i="1" s="1"/>
  <c r="A911" i="1" s="1"/>
  <c r="A913" i="1" s="1"/>
  <c r="A917" i="1" s="1"/>
  <c r="A919" i="1" s="1"/>
  <c r="A920" i="1" s="1"/>
  <c r="A921" i="1" s="1"/>
  <c r="A923" i="1" s="1"/>
  <c r="A926" i="1" s="1"/>
  <c r="A928" i="1" s="1"/>
  <c r="A931" i="1" s="1"/>
  <c r="A933" i="1" s="1"/>
  <c r="A935" i="1" s="1"/>
  <c r="A937" i="1" s="1"/>
  <c r="A939" i="1" s="1"/>
  <c r="A941" i="1" s="1"/>
  <c r="A944" i="1" s="1"/>
  <c r="A950" i="1" s="1"/>
  <c r="A955" i="1" s="1"/>
  <c r="A960" i="1" s="1"/>
  <c r="A967" i="1" s="1"/>
  <c r="A972" i="1" s="1"/>
  <c r="A976" i="1" s="1"/>
  <c r="A978" i="1" s="1"/>
  <c r="A985" i="1" s="1"/>
  <c r="A993" i="1" s="1"/>
  <c r="A995" i="1" s="1"/>
  <c r="A996" i="1" s="1"/>
  <c r="A997" i="1" s="1"/>
  <c r="A999" i="1" s="1"/>
  <c r="A1001" i="1" s="1"/>
  <c r="A1008" i="1" s="1"/>
  <c r="A1010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6" i="1" s="1"/>
  <c r="A1027" i="1" s="1"/>
  <c r="A1028" i="1" s="1"/>
  <c r="A1029" i="1" s="1"/>
  <c r="A1031" i="1" s="1"/>
  <c r="A1033" i="1" s="1"/>
  <c r="A1035" i="1" s="1"/>
  <c r="A1042" i="1" s="1"/>
  <c r="A1044" i="1" s="1"/>
  <c r="A1046" i="1" s="1"/>
  <c r="A1051" i="1" s="1"/>
  <c r="A1054" i="1" s="1"/>
  <c r="A1056" i="1" s="1"/>
  <c r="A1058" i="1" s="1"/>
  <c r="A1064" i="1" s="1"/>
  <c r="A1068" i="1" s="1"/>
  <c r="A1071" i="1" s="1"/>
  <c r="A1076" i="1" s="1"/>
  <c r="A1077" i="1" s="1"/>
  <c r="A1079" i="1" s="1"/>
  <c r="A1083" i="1" s="1"/>
  <c r="A1085" i="1" s="1"/>
  <c r="A1086" i="1" s="1"/>
  <c r="A1090" i="1" s="1"/>
  <c r="A1092" i="1" s="1"/>
  <c r="A1095" i="1" s="1"/>
  <c r="A1096" i="1" s="1"/>
  <c r="A1097" i="1" s="1"/>
  <c r="A1098" i="1" s="1"/>
  <c r="A1099" i="1" s="1"/>
  <c r="A1102" i="1" s="1"/>
  <c r="A1105" i="1" s="1"/>
  <c r="A1106" i="1" s="1"/>
  <c r="A1107" i="1" s="1"/>
  <c r="A1108" i="1" s="1"/>
  <c r="A1109" i="1" s="1"/>
  <c r="A1113" i="1" s="1"/>
  <c r="A1120" i="1" s="1"/>
  <c r="A1121" i="1" s="1"/>
  <c r="A1123" i="1" s="1"/>
  <c r="A1124" i="1" s="1"/>
  <c r="A1125" i="1" s="1"/>
  <c r="A1126" i="1" s="1"/>
  <c r="A1129" i="1" s="1"/>
  <c r="A1131" i="1" s="1"/>
  <c r="A1133" i="1" s="1"/>
  <c r="A1136" i="1" s="1"/>
  <c r="A1137" i="1" s="1"/>
  <c r="A1138" i="1" s="1"/>
  <c r="A1139" i="1" s="1"/>
  <c r="A1140" i="1" s="1"/>
  <c r="A1143" i="1" s="1"/>
  <c r="A1148" i="1" s="1"/>
  <c r="A1149" i="1" s="1"/>
  <c r="A1150" i="1" s="1"/>
  <c r="A1151" i="1" s="1"/>
  <c r="A1154" i="1" s="1"/>
  <c r="A1156" i="1" s="1"/>
  <c r="A1158" i="1" s="1"/>
  <c r="A1162" i="1" s="1"/>
  <c r="A1164" i="1" s="1"/>
  <c r="A1168" i="1" s="1"/>
  <c r="A1170" i="1" s="1"/>
  <c r="A1172" i="1" s="1"/>
  <c r="A1175" i="1" s="1"/>
  <c r="A1177" i="1" s="1"/>
  <c r="A1179" i="1" s="1"/>
  <c r="A1185" i="1" s="1"/>
  <c r="A1188" i="1" s="1"/>
  <c r="A1193" i="1" s="1"/>
  <c r="A1195" i="1" s="1"/>
  <c r="A1199" i="1" s="1"/>
  <c r="A1207" i="1" s="1"/>
  <c r="A1209" i="1" s="1"/>
  <c r="A1210" i="1" s="1"/>
  <c r="A1211" i="1" s="1"/>
  <c r="A1213" i="1" s="1"/>
  <c r="A1215" i="1" s="1"/>
  <c r="A1218" i="1" s="1"/>
  <c r="A1220" i="1" s="1"/>
  <c r="A1222" i="1" s="1"/>
  <c r="A1223" i="1" s="1"/>
  <c r="A1224" i="1" s="1"/>
  <c r="A1225" i="1" s="1"/>
  <c r="A1226" i="1" s="1"/>
  <c r="A1227" i="1" s="1"/>
  <c r="A1229" i="1" s="1"/>
  <c r="A1232" i="1" s="1"/>
  <c r="A1234" i="1" s="1"/>
  <c r="A1236" i="1" s="1"/>
  <c r="A1238" i="1" s="1"/>
  <c r="A1240" i="1" s="1"/>
  <c r="A1245" i="1" s="1"/>
  <c r="A1250" i="1" s="1"/>
  <c r="A1253" i="1" s="1"/>
  <c r="A1255" i="1" s="1"/>
  <c r="A1257" i="1" s="1"/>
  <c r="A1263" i="1" s="1"/>
  <c r="A1267" i="1" s="1"/>
  <c r="A1270" i="1" s="1"/>
  <c r="A1272" i="1" s="1"/>
  <c r="A1277" i="1" s="1"/>
  <c r="A1280" i="1" s="1"/>
  <c r="A1282" i="1" s="1"/>
  <c r="A1285" i="1" s="1"/>
  <c r="A1286" i="1" s="1"/>
  <c r="A1287" i="1" s="1"/>
  <c r="A1289" i="1" s="1"/>
  <c r="A1292" i="1" s="1"/>
  <c r="A1293" i="1" s="1"/>
  <c r="A1295" i="1" s="1"/>
  <c r="A1297" i="1" s="1"/>
  <c r="A1298" i="1" s="1"/>
  <c r="A1299" i="1" s="1"/>
  <c r="A1301" i="1" s="1"/>
  <c r="A1305" i="1" s="1"/>
  <c r="A1306" i="1" s="1"/>
  <c r="A1308" i="1" s="1"/>
  <c r="A1310" i="1" s="1"/>
  <c r="A1315" i="1" s="1"/>
  <c r="A1316" i="1" s="1"/>
  <c r="A1317" i="1" s="1"/>
  <c r="A1319" i="1" s="1"/>
  <c r="A1321" i="1" s="1"/>
  <c r="A1323" i="1" s="1"/>
  <c r="A1329" i="1" s="1"/>
  <c r="A1332" i="1" s="1"/>
  <c r="A1334" i="1" s="1"/>
  <c r="A1337" i="1" s="1"/>
  <c r="A1345" i="1" s="1"/>
  <c r="A1347" i="1" s="1"/>
  <c r="A1348" i="1" s="1"/>
  <c r="A1349" i="1" s="1"/>
  <c r="A1351" i="1" s="1"/>
  <c r="A1353" i="1" s="1"/>
  <c r="A1356" i="1" s="1"/>
  <c r="A1358" i="1" s="1"/>
  <c r="A1360" i="1" s="1"/>
  <c r="A1361" i="1" s="1"/>
  <c r="A1362" i="1" s="1"/>
  <c r="A1363" i="1" s="1"/>
  <c r="A1364" i="1" s="1"/>
  <c r="A1365" i="1" s="1"/>
  <c r="A1367" i="1" s="1"/>
  <c r="A1368" i="1" s="1"/>
  <c r="A1369" i="1" s="1"/>
  <c r="A1370" i="1" s="1"/>
  <c r="A1372" i="1" s="1"/>
  <c r="A1374" i="1" s="1"/>
  <c r="A1376" i="1" s="1"/>
  <c r="A1383" i="1" s="1"/>
  <c r="A1385" i="1" s="1"/>
  <c r="A1387" i="1" s="1"/>
  <c r="A1393" i="1" s="1"/>
  <c r="A1395" i="1" s="1"/>
  <c r="A1398" i="1" s="1"/>
  <c r="A1404" i="1" s="1"/>
  <c r="A1406" i="1" s="1"/>
  <c r="A1409" i="1" s="1"/>
  <c r="A1411" i="1" s="1"/>
  <c r="A1416" i="1" s="1"/>
  <c r="A1419" i="1" s="1"/>
  <c r="A1423" i="1" s="1"/>
  <c r="A1425" i="1" s="1"/>
  <c r="A1428" i="1" s="1"/>
  <c r="A1430" i="1" s="1"/>
  <c r="A1433" i="1" s="1"/>
  <c r="A1434" i="1" s="1"/>
  <c r="A1436" i="1" s="1"/>
  <c r="A1437" i="1" s="1"/>
  <c r="A1438" i="1" s="1"/>
  <c r="A1440" i="1" s="1"/>
  <c r="A1443" i="1" s="1"/>
  <c r="A1445" i="1" s="1"/>
  <c r="A1448" i="1" s="1"/>
  <c r="A1450" i="1" s="1"/>
  <c r="A1452" i="1" s="1"/>
  <c r="A1453" i="1" s="1"/>
  <c r="A1455" i="1" s="1"/>
  <c r="A1456" i="1" s="1"/>
  <c r="A1457" i="1" s="1"/>
  <c r="A1459" i="1" s="1"/>
  <c r="A1463" i="1" s="1"/>
  <c r="A1466" i="1" s="1"/>
  <c r="A1469" i="1" s="1"/>
  <c r="A1471" i="1" s="1"/>
  <c r="A1474" i="1" s="1"/>
  <c r="A1476" i="1" s="1"/>
  <c r="A1480" i="1" s="1"/>
  <c r="A1481" i="1" s="1"/>
  <c r="A1483" i="1" s="1"/>
  <c r="A1484" i="1" s="1"/>
  <c r="A1485" i="1" s="1"/>
  <c r="A1487" i="1" s="1"/>
  <c r="A1490" i="1" s="1"/>
  <c r="A1491" i="1" s="1"/>
  <c r="A1492" i="1" s="1"/>
  <c r="A1493" i="1" s="1"/>
  <c r="A1495" i="1" s="1"/>
  <c r="A1497" i="1" s="1"/>
  <c r="A1499" i="1" s="1"/>
  <c r="A1507" i="1" s="1"/>
  <c r="A1510" i="1" s="1"/>
  <c r="A1512" i="1" s="1"/>
  <c r="A1515" i="1" s="1"/>
  <c r="A1517" i="1" s="1"/>
  <c r="A1521" i="1" s="1"/>
  <c r="A1523" i="1" s="1"/>
  <c r="A1525" i="1" s="1"/>
  <c r="A1530" i="1" s="1"/>
  <c r="A1532" i="1" s="1"/>
  <c r="A1534" i="1" s="1"/>
  <c r="A1537" i="1" s="1"/>
  <c r="A1539" i="1" s="1"/>
  <c r="A1541" i="1" s="1"/>
  <c r="A1543" i="1" s="1"/>
  <c r="A1545" i="1" s="1"/>
  <c r="A1547" i="1" s="1"/>
  <c r="A1552" i="1" s="1"/>
  <c r="A1554" i="1" s="1"/>
  <c r="A1556" i="1" s="1"/>
  <c r="A1561" i="1" s="1"/>
  <c r="A1563" i="1" s="1"/>
  <c r="A1565" i="1" s="1"/>
  <c r="A1567" i="1" s="1"/>
  <c r="A1571" i="1" s="1"/>
  <c r="A1573" i="1" s="1"/>
  <c r="A1577" i="1" s="1"/>
  <c r="A1580" i="1" s="1"/>
  <c r="A1582" i="1" s="1"/>
  <c r="A1586" i="1" s="1"/>
  <c r="A1589" i="1" s="1"/>
  <c r="A1591" i="1" s="1"/>
  <c r="A1593" i="1" s="1"/>
  <c r="A1594" i="1" s="1"/>
  <c r="A1595" i="1" s="1"/>
  <c r="A1597" i="1" s="1"/>
  <c r="A1600" i="1" s="1"/>
  <c r="A1602" i="1" s="1"/>
  <c r="A1604" i="1" s="1"/>
  <c r="A1605" i="1" s="1"/>
  <c r="A1606" i="1" s="1"/>
  <c r="D2122" i="1" l="1"/>
  <c r="D3126" i="1"/>
  <c r="D3098" i="1"/>
  <c r="D3324" i="1"/>
  <c r="D3325" i="1" s="1"/>
  <c r="A1611" i="1"/>
  <c r="A1612" i="1" s="1"/>
  <c r="A1613" i="1" s="1"/>
  <c r="A1615" i="1" s="1"/>
  <c r="A1619" i="1" s="1"/>
  <c r="A1623" i="1" s="1"/>
  <c r="A1626" i="1" s="1"/>
  <c r="A1628" i="1" s="1"/>
  <c r="A1629" i="1" s="1"/>
  <c r="A1630" i="1" s="1"/>
  <c r="A1632" i="1" s="1"/>
  <c r="A1634" i="1" s="1"/>
  <c r="A1636" i="1" s="1"/>
  <c r="A1638" i="1" s="1"/>
  <c r="A1640" i="1" s="1"/>
  <c r="A1641" i="1" s="1"/>
  <c r="A1642" i="1" s="1"/>
  <c r="A1644" i="1" s="1"/>
  <c r="A1645" i="1" s="1"/>
  <c r="A1646" i="1" s="1"/>
  <c r="A1647" i="1" s="1"/>
  <c r="A1649" i="1" s="1"/>
  <c r="A1651" i="1" s="1"/>
  <c r="A1653" i="1" s="1"/>
  <c r="A1660" i="1" s="1"/>
  <c r="A1664" i="1" s="1"/>
  <c r="A1667" i="1" s="1"/>
  <c r="A1669" i="1" s="1"/>
  <c r="A1672" i="1" s="1"/>
  <c r="A1678" i="1" s="1"/>
  <c r="A1680" i="1" s="1"/>
  <c r="A1684" i="1" s="1"/>
  <c r="A1685" i="1" s="1"/>
  <c r="A1687" i="1" s="1"/>
  <c r="A1689" i="1" s="1"/>
  <c r="A1696" i="1" s="1"/>
  <c r="A1697" i="1" s="1"/>
  <c r="A1699" i="1" s="1"/>
  <c r="A1701" i="1" s="1"/>
  <c r="A1702" i="1" s="1"/>
  <c r="A1703" i="1" s="1"/>
  <c r="A1706" i="1" s="1"/>
  <c r="A1709" i="1" s="1"/>
  <c r="A1711" i="1" s="1"/>
  <c r="A1714" i="1" s="1"/>
  <c r="A1716" i="1" s="1"/>
  <c r="A1719" i="1" s="1"/>
  <c r="A1720" i="1" s="1"/>
  <c r="A1722" i="1" s="1"/>
  <c r="A1723" i="1" s="1"/>
  <c r="A1724" i="1" s="1"/>
  <c r="A1726" i="1" s="1"/>
  <c r="A1729" i="1" s="1"/>
  <c r="A1731" i="1" s="1"/>
  <c r="A1734" i="1" s="1"/>
  <c r="A1736" i="1" s="1"/>
  <c r="A1738" i="1" s="1"/>
  <c r="A1739" i="1" s="1"/>
  <c r="A1741" i="1" s="1"/>
  <c r="A1742" i="1" s="1"/>
  <c r="A1743" i="1" s="1"/>
  <c r="A1745" i="1" s="1"/>
  <c r="A1748" i="1" s="1"/>
  <c r="A1749" i="1" s="1"/>
  <c r="A1750" i="1" s="1"/>
  <c r="A1751" i="1" s="1"/>
  <c r="A1753" i="1" s="1"/>
  <c r="A1755" i="1" s="1"/>
  <c r="A1757" i="1" s="1"/>
  <c r="A1764" i="1" s="1"/>
  <c r="A1766" i="1" s="1"/>
  <c r="A1769" i="1" s="1"/>
  <c r="A1771" i="1" s="1"/>
  <c r="A1773" i="1" s="1"/>
  <c r="A1777" i="1" s="1"/>
  <c r="A1779" i="1" s="1"/>
  <c r="A1783" i="1" s="1"/>
  <c r="A1784" i="1" s="1"/>
  <c r="A1787" i="1" s="1"/>
  <c r="A1791" i="1" s="1"/>
  <c r="A1793" i="1" s="1"/>
  <c r="A1796" i="1" s="1"/>
  <c r="A1798" i="1" s="1"/>
  <c r="A1801" i="1" s="1"/>
  <c r="A1802" i="1" s="1"/>
  <c r="A1804" i="1" s="1"/>
  <c r="A1806" i="1" s="1"/>
  <c r="A1807" i="1" s="1"/>
  <c r="A1808" i="1" s="1"/>
  <c r="A1810" i="1" s="1"/>
  <c r="A1813" i="1" s="1"/>
  <c r="A1815" i="1" s="1"/>
  <c r="A1818" i="1" s="1"/>
  <c r="A1820" i="1" s="1"/>
  <c r="A1822" i="1" s="1"/>
  <c r="A1823" i="1" s="1"/>
  <c r="A1825" i="1" s="1"/>
  <c r="A1827" i="1" s="1"/>
  <c r="A1828" i="1" s="1"/>
  <c r="A1829" i="1" s="1"/>
  <c r="A1831" i="1" s="1"/>
  <c r="A1834" i="1" s="1"/>
  <c r="A1837" i="1" s="1"/>
  <c r="A1839" i="1" s="1"/>
  <c r="A1843" i="1" s="1"/>
  <c r="A1848" i="1" s="1"/>
  <c r="A1852" i="1" s="1"/>
  <c r="A1860" i="1" s="1"/>
  <c r="A1862" i="1" s="1"/>
  <c r="A1863" i="1" s="1"/>
  <c r="A1864" i="1" s="1"/>
  <c r="A1866" i="1" s="1"/>
  <c r="A1868" i="1" s="1"/>
  <c r="A1870" i="1" s="1"/>
  <c r="A1872" i="1" s="1"/>
  <c r="A1874" i="1" s="1"/>
  <c r="A1875" i="1" s="1"/>
  <c r="A1876" i="1" s="1"/>
  <c r="A1878" i="1" s="1"/>
  <c r="A1879" i="1" s="1"/>
  <c r="A1880" i="1" s="1"/>
  <c r="A1881" i="1" s="1"/>
  <c r="A1883" i="1" s="1"/>
  <c r="A1885" i="1" s="1"/>
  <c r="A1887" i="1" s="1"/>
  <c r="A1894" i="1" s="1"/>
  <c r="A1897" i="1" s="1"/>
  <c r="A1899" i="1" s="1"/>
  <c r="A1902" i="1" s="1"/>
  <c r="A1904" i="1" s="1"/>
  <c r="A1908" i="1" s="1"/>
  <c r="A1910" i="1" s="1"/>
  <c r="A1912" i="1" s="1"/>
  <c r="A1917" i="1" s="1"/>
  <c r="A1919" i="1" s="1"/>
  <c r="A1921" i="1" s="1"/>
  <c r="A1925" i="1" s="1"/>
  <c r="A1926" i="1" s="1"/>
  <c r="A1929" i="1" s="1"/>
  <c r="A1933" i="1" s="1"/>
  <c r="A1935" i="1" s="1"/>
  <c r="A1938" i="1" s="1"/>
  <c r="A1940" i="1" s="1"/>
  <c r="A1943" i="1" s="1"/>
  <c r="A1944" i="1" s="1"/>
  <c r="A1946" i="1" s="1"/>
  <c r="A1948" i="1" s="1"/>
  <c r="A1949" i="1" s="1"/>
  <c r="A1950" i="1" s="1"/>
  <c r="A1952" i="1" s="1"/>
  <c r="A1955" i="1" s="1"/>
  <c r="A1957" i="1" s="1"/>
  <c r="A1960" i="1" s="1"/>
  <c r="A1962" i="1" s="1"/>
  <c r="A1964" i="1" s="1"/>
  <c r="A1965" i="1" s="1"/>
  <c r="A1967" i="1" s="1"/>
  <c r="A1969" i="1" s="1"/>
  <c r="A1970" i="1" s="1"/>
  <c r="A1971" i="1" s="1"/>
  <c r="A1973" i="1" s="1"/>
  <c r="A1976" i="1" s="1"/>
  <c r="A1978" i="1" s="1"/>
  <c r="A1981" i="1" s="1"/>
  <c r="A1983" i="1" s="1"/>
  <c r="A1988" i="1" s="1"/>
  <c r="A1991" i="1" s="1"/>
  <c r="A1996" i="1" s="1"/>
  <c r="A2000" i="1" s="1"/>
  <c r="A2002" i="1" s="1"/>
  <c r="A2010" i="1" s="1"/>
  <c r="A2012" i="1" s="1"/>
  <c r="A2013" i="1" s="1"/>
  <c r="A2014" i="1" s="1"/>
  <c r="A2016" i="1" s="1"/>
  <c r="A2018" i="1" s="1"/>
  <c r="A2020" i="1" s="1"/>
  <c r="A2022" i="1" s="1"/>
  <c r="A2024" i="1" s="1"/>
  <c r="A2025" i="1" s="1"/>
  <c r="A2026" i="1" s="1"/>
  <c r="A2028" i="1" s="1"/>
  <c r="A2029" i="1" s="1"/>
  <c r="A2030" i="1" s="1"/>
  <c r="A2031" i="1" s="1"/>
  <c r="A2033" i="1" s="1"/>
  <c r="A2035" i="1" s="1"/>
  <c r="A2037" i="1" s="1"/>
  <c r="A2044" i="1" s="1"/>
  <c r="A2047" i="1" s="1"/>
  <c r="A2049" i="1" s="1"/>
  <c r="A2051" i="1" s="1"/>
  <c r="A2054" i="1" s="1"/>
  <c r="A2056" i="1" s="1"/>
  <c r="A2060" i="1" s="1"/>
  <c r="A2062" i="1" s="1"/>
  <c r="A2064" i="1" s="1"/>
  <c r="A2069" i="1" s="1"/>
  <c r="A2071" i="1" s="1"/>
  <c r="A2073" i="1" s="1"/>
  <c r="A2077" i="1" s="1"/>
  <c r="A2078" i="1" s="1"/>
  <c r="A2080" i="1" s="1"/>
  <c r="A2084" i="1" s="1"/>
  <c r="A2086" i="1" s="1"/>
  <c r="A2088" i="1" s="1"/>
  <c r="A2089" i="1" s="1"/>
  <c r="A2090" i="1" s="1"/>
  <c r="A2093" i="1" s="1"/>
  <c r="A2094" i="1" s="1"/>
  <c r="A2096" i="1" s="1"/>
  <c r="A2100" i="1" s="1"/>
  <c r="A2102" i="1" s="1"/>
  <c r="A2103" i="1" s="1"/>
  <c r="A2104" i="1" s="1"/>
  <c r="A2106" i="1" s="1"/>
  <c r="A2109" i="1" s="1"/>
  <c r="A2110" i="1" s="1"/>
  <c r="A2112" i="1" s="1"/>
  <c r="A2116" i="1" s="1"/>
  <c r="A2118" i="1" s="1"/>
  <c r="A2119" i="1" s="1"/>
  <c r="A2120" i="1" s="1"/>
  <c r="A2122" i="1" s="1"/>
  <c r="A2125" i="1" s="1"/>
  <c r="A2126" i="1" s="1"/>
  <c r="A2128" i="1" s="1"/>
  <c r="A2132" i="1" s="1"/>
  <c r="A2134" i="1" s="1"/>
  <c r="A2136" i="1" s="1"/>
  <c r="A2139" i="1" s="1"/>
  <c r="A2142" i="1" s="1"/>
  <c r="A2144" i="1" s="1"/>
  <c r="A2146" i="1" s="1"/>
  <c r="A2147" i="1" s="1"/>
  <c r="A2148" i="1" s="1"/>
  <c r="A2150" i="1" s="1"/>
  <c r="A2153" i="1" s="1"/>
  <c r="A2155" i="1" s="1"/>
  <c r="A2157" i="1" s="1"/>
  <c r="A2158" i="1" s="1"/>
  <c r="A2159" i="1" s="1"/>
  <c r="A2161" i="1" s="1"/>
  <c r="A2164" i="1" s="1"/>
  <c r="A2167" i="1" s="1"/>
  <c r="A2169" i="1" s="1"/>
  <c r="A2171" i="1" s="1"/>
  <c r="A2172" i="1" s="1"/>
  <c r="A2173" i="1" s="1"/>
  <c r="A2175" i="1" s="1"/>
  <c r="A2178" i="1" s="1"/>
  <c r="A2180" i="1" s="1"/>
  <c r="A2182" i="1" s="1"/>
  <c r="A2185" i="1" s="1"/>
  <c r="A2187" i="1" s="1"/>
  <c r="A2190" i="1" s="1"/>
  <c r="A2195" i="1" s="1"/>
  <c r="A2198" i="1" s="1"/>
  <c r="A2205" i="1" s="1"/>
  <c r="A2210" i="1" s="1"/>
  <c r="A2212" i="1" s="1"/>
  <c r="A2217" i="1" s="1"/>
  <c r="A2219" i="1" s="1"/>
  <c r="A2227" i="1" s="1"/>
  <c r="A2229" i="1" s="1"/>
  <c r="A2230" i="1" s="1"/>
  <c r="A2231" i="1" s="1"/>
  <c r="A2233" i="1" s="1"/>
  <c r="A2235" i="1" s="1"/>
  <c r="A2238" i="1" s="1"/>
  <c r="A2240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6" i="1" s="1"/>
  <c r="A2257" i="1" s="1"/>
  <c r="A2258" i="1" s="1"/>
  <c r="A2259" i="1" s="1"/>
  <c r="A2261" i="1" s="1"/>
  <c r="A2263" i="1" s="1"/>
  <c r="A2265" i="1" s="1"/>
  <c r="A2272" i="1" s="1"/>
  <c r="A2276" i="1" s="1"/>
  <c r="A2278" i="1" s="1"/>
  <c r="A2280" i="1" s="1"/>
  <c r="A2282" i="1" s="1"/>
  <c r="A2284" i="1" s="1"/>
  <c r="A2289" i="1" s="1"/>
  <c r="A2291" i="1" s="1"/>
  <c r="A2293" i="1" s="1"/>
  <c r="A2298" i="1" s="1"/>
  <c r="A2300" i="1" s="1"/>
  <c r="A2303" i="1" s="1"/>
  <c r="A2307" i="1" s="1"/>
  <c r="A2308" i="1" s="1"/>
  <c r="A2311" i="1" s="1"/>
  <c r="A2315" i="1" s="1"/>
  <c r="A2318" i="1" s="1"/>
  <c r="A2320" i="1" s="1"/>
  <c r="A2323" i="1" s="1"/>
  <c r="A2324" i="1" s="1"/>
  <c r="A2326" i="1" s="1"/>
  <c r="A2328" i="1" s="1"/>
  <c r="A2329" i="1" s="1"/>
  <c r="A2330" i="1" s="1"/>
  <c r="A2332" i="1" s="1"/>
  <c r="A2335" i="1" s="1"/>
  <c r="A2338" i="1" s="1"/>
  <c r="A2340" i="1" s="1"/>
  <c r="A2343" i="1" s="1"/>
  <c r="A2344" i="1" s="1"/>
  <c r="A2346" i="1" s="1"/>
  <c r="A2348" i="1" s="1"/>
  <c r="A2349" i="1" s="1"/>
  <c r="A2350" i="1" s="1"/>
  <c r="A2352" i="1" s="1"/>
  <c r="A2356" i="1" s="1"/>
  <c r="A2365" i="1" s="1"/>
  <c r="A2366" i="1" s="1"/>
  <c r="A2368" i="1" s="1"/>
  <c r="A2370" i="1" s="1"/>
  <c r="A2372" i="1" s="1"/>
  <c r="A2374" i="1" s="1"/>
  <c r="A2375" i="1" s="1"/>
  <c r="A1608" i="1"/>
  <c r="D2846" i="1"/>
  <c r="D2847" i="1" s="1"/>
  <c r="D3128" i="1"/>
  <c r="D3129" i="1" s="1"/>
  <c r="D3127" i="1"/>
  <c r="D3483" i="1"/>
  <c r="D3479" i="1"/>
  <c r="D3340" i="1"/>
  <c r="D3341" i="1" s="1"/>
  <c r="D3342" i="1" s="1"/>
  <c r="D3339" i="1"/>
  <c r="D3326" i="1" l="1"/>
  <c r="D3327" i="1" s="1"/>
  <c r="D3328" i="1" s="1"/>
  <c r="D3329" i="1" s="1"/>
  <c r="A2377" i="1"/>
  <c r="A2378" i="1" s="1"/>
  <c r="A2384" i="1"/>
  <c r="D3344" i="1"/>
  <c r="D3345" i="1" s="1"/>
  <c r="D3343" i="1"/>
  <c r="D3330" i="1" l="1"/>
  <c r="D3331" i="1" s="1"/>
  <c r="A2387" i="1"/>
  <c r="A2389" i="1" s="1"/>
  <c r="A2393" i="1" s="1"/>
  <c r="A2398" i="1" s="1"/>
  <c r="A2400" i="1" s="1"/>
  <c r="A2403" i="1" s="1"/>
  <c r="A2411" i="1" s="1"/>
  <c r="A2413" i="1" s="1"/>
  <c r="A2414" i="1" s="1"/>
  <c r="A2415" i="1" s="1"/>
  <c r="A2417" i="1" s="1"/>
  <c r="A2419" i="1" s="1"/>
  <c r="A2422" i="1" s="1"/>
  <c r="A2424" i="1" s="1"/>
  <c r="A2426" i="1" s="1"/>
  <c r="A2427" i="1" s="1"/>
  <c r="A2428" i="1" s="1"/>
  <c r="A2429" i="1" s="1"/>
  <c r="A2430" i="1" s="1"/>
  <c r="A2431" i="1" s="1"/>
  <c r="A2433" i="1" s="1"/>
  <c r="A2434" i="1" s="1"/>
  <c r="A2435" i="1" s="1"/>
  <c r="A2436" i="1" s="1"/>
  <c r="A2438" i="1" s="1"/>
  <c r="A2440" i="1" s="1"/>
  <c r="A2442" i="1" s="1"/>
  <c r="A2449" i="1" s="1"/>
  <c r="A2452" i="1" s="1"/>
  <c r="A2454" i="1" s="1"/>
  <c r="A2456" i="1" s="1"/>
  <c r="A2459" i="1" s="1"/>
  <c r="A2461" i="1" s="1"/>
  <c r="A2465" i="1" s="1"/>
  <c r="A2468" i="1" s="1"/>
  <c r="A2470" i="1" s="1"/>
  <c r="A2472" i="1" s="1"/>
  <c r="A2476" i="1" s="1"/>
  <c r="A2478" i="1" s="1"/>
  <c r="A2480" i="1" s="1"/>
  <c r="A2484" i="1" s="1"/>
  <c r="A2486" i="1" s="1"/>
  <c r="A2488" i="1" s="1"/>
  <c r="A2492" i="1" s="1"/>
  <c r="A2493" i="1" s="1"/>
  <c r="A2496" i="1" s="1"/>
  <c r="A2500" i="1" s="1"/>
  <c r="A2501" i="1" s="1"/>
  <c r="A2504" i="1" s="1"/>
  <c r="A2505" i="1" s="1"/>
  <c r="A2507" i="1" s="1"/>
  <c r="A2509" i="1" s="1"/>
  <c r="A2510" i="1" s="1"/>
  <c r="A2511" i="1" s="1"/>
  <c r="A2513" i="1" s="1"/>
  <c r="A2516" i="1" s="1"/>
  <c r="A2518" i="1" s="1"/>
  <c r="A2520" i="1" s="1"/>
  <c r="A2523" i="1" s="1"/>
  <c r="A2527" i="1" s="1"/>
  <c r="A2529" i="1" s="1"/>
  <c r="A2531" i="1" s="1"/>
  <c r="A2539" i="1" s="1"/>
  <c r="A2541" i="1" s="1"/>
  <c r="A2542" i="1" s="1"/>
  <c r="A2543" i="1" s="1"/>
  <c r="A2545" i="1" s="1"/>
  <c r="A2547" i="1" s="1"/>
  <c r="A2550" i="1" s="1"/>
  <c r="A2552" i="1" s="1"/>
  <c r="A2554" i="1" s="1"/>
  <c r="A2555" i="1" s="1"/>
  <c r="A2556" i="1" s="1"/>
  <c r="A2558" i="1" s="1"/>
  <c r="A2559" i="1" s="1"/>
  <c r="A2560" i="1" s="1"/>
  <c r="A2561" i="1" s="1"/>
  <c r="A2563" i="1" s="1"/>
  <c r="A2565" i="1" s="1"/>
  <c r="A2567" i="1" s="1"/>
  <c r="A2576" i="1" s="1"/>
  <c r="A2579" i="1" s="1"/>
  <c r="A2580" i="1" s="1"/>
  <c r="A2582" i="1" s="1"/>
  <c r="A2584" i="1" s="1"/>
  <c r="A2585" i="1" s="1"/>
  <c r="A2586" i="1" s="1"/>
  <c r="A2588" i="1" s="1"/>
  <c r="A2590" i="1" s="1"/>
  <c r="A2591" i="1" s="1"/>
  <c r="A2594" i="1" s="1"/>
  <c r="A2597" i="1" s="1"/>
  <c r="A2599" i="1" s="1"/>
  <c r="A2601" i="1" s="1"/>
  <c r="A2603" i="1" s="1"/>
  <c r="A2610" i="1" s="1"/>
  <c r="A2612" i="1" s="1"/>
  <c r="A2614" i="1" s="1"/>
  <c r="A2617" i="1" s="1"/>
  <c r="A2622" i="1" s="1"/>
  <c r="A2623" i="1" s="1"/>
  <c r="A2625" i="1" s="1"/>
  <c r="A2634" i="1" s="1"/>
  <c r="A2636" i="1" s="1"/>
  <c r="A2638" i="1" s="1"/>
  <c r="A2639" i="1" s="1"/>
  <c r="A2641" i="1" s="1"/>
  <c r="A2642" i="1" s="1"/>
  <c r="A2643" i="1" s="1"/>
  <c r="A2647" i="1" s="1"/>
  <c r="A2649" i="1" s="1"/>
  <c r="A2651" i="1" s="1"/>
  <c r="A2652" i="1" s="1"/>
  <c r="A2659" i="1" s="1"/>
  <c r="A2660" i="1" s="1"/>
  <c r="A2662" i="1" s="1"/>
  <c r="A2667" i="1" s="1"/>
  <c r="A2668" i="1" s="1"/>
  <c r="A2670" i="1" s="1"/>
  <c r="A2673" i="1" s="1"/>
  <c r="A2675" i="1" s="1"/>
  <c r="A2677" i="1" s="1"/>
  <c r="A2681" i="1" s="1"/>
  <c r="A2682" i="1" s="1"/>
  <c r="A2683" i="1" s="1"/>
  <c r="A2685" i="1" s="1"/>
  <c r="A2690" i="1" s="1"/>
  <c r="A2692" i="1" s="1"/>
  <c r="A2696" i="1" s="1"/>
  <c r="A2697" i="1" s="1"/>
  <c r="A2698" i="1" s="1"/>
  <c r="A2700" i="1" s="1"/>
  <c r="A2705" i="1" s="1"/>
  <c r="A2707" i="1" s="1"/>
  <c r="A2710" i="1" s="1"/>
  <c r="A2712" i="1" s="1"/>
  <c r="A2714" i="1" s="1"/>
  <c r="A2716" i="1" s="1"/>
  <c r="A2722" i="1" s="1"/>
  <c r="A2723" i="1" s="1"/>
  <c r="A2724" i="1" s="1"/>
  <c r="A2725" i="1" s="1"/>
  <c r="A2727" i="1" s="1"/>
  <c r="A2731" i="1" s="1"/>
  <c r="A2734" i="1" s="1"/>
  <c r="A2735" i="1" s="1"/>
  <c r="A2737" i="1" s="1"/>
  <c r="A2739" i="1" s="1"/>
  <c r="A2744" i="1" s="1"/>
  <c r="A2747" i="1" s="1"/>
  <c r="A2749" i="1" s="1"/>
  <c r="A2751" i="1" s="1"/>
  <c r="A2752" i="1" s="1"/>
  <c r="A2753" i="1" s="1"/>
  <c r="A2755" i="1" s="1"/>
  <c r="A2758" i="1" s="1"/>
  <c r="A2760" i="1" s="1"/>
  <c r="A2762" i="1" s="1"/>
  <c r="A2763" i="1" s="1"/>
  <c r="A2764" i="1" s="1"/>
  <c r="A2766" i="1" s="1"/>
  <c r="A2769" i="1" s="1"/>
  <c r="A2771" i="1" s="1"/>
  <c r="A2774" i="1" s="1"/>
  <c r="A2776" i="1" s="1"/>
  <c r="A2779" i="1" s="1"/>
  <c r="A2780" i="1" s="1"/>
  <c r="A2782" i="1" s="1"/>
  <c r="A2783" i="1" s="1"/>
  <c r="A2784" i="1" s="1"/>
  <c r="A2786" i="1" s="1"/>
  <c r="A2790" i="1" s="1"/>
  <c r="A2792" i="1" s="1"/>
  <c r="A2794" i="1" s="1"/>
  <c r="A2795" i="1" s="1"/>
  <c r="A2796" i="1" s="1"/>
  <c r="A2798" i="1" s="1"/>
  <c r="A2802" i="1" s="1"/>
  <c r="A2804" i="1" s="1"/>
  <c r="A2806" i="1" s="1"/>
  <c r="A2807" i="1" s="1"/>
  <c r="A2808" i="1" s="1"/>
  <c r="A2810" i="1" s="1"/>
  <c r="A2814" i="1" s="1"/>
  <c r="A2823" i="1" s="1"/>
  <c r="A2824" i="1" s="1"/>
  <c r="A2830" i="1" s="1"/>
  <c r="A2831" i="1" s="1"/>
  <c r="A2833" i="1" s="1"/>
  <c r="A2834" i="1" s="1"/>
  <c r="A2835" i="1" s="1"/>
  <c r="A2836" i="1" s="1"/>
  <c r="A2838" i="1" s="1"/>
  <c r="A2841" i="1" s="1"/>
  <c r="A2842" i="1" s="1"/>
  <c r="A2843" i="1" s="1"/>
  <c r="A2845" i="1" s="1"/>
  <c r="A2846" i="1" s="1"/>
  <c r="A2848" i="1" s="1"/>
  <c r="A2849" i="1" s="1"/>
  <c r="A2850" i="1" s="1"/>
  <c r="A2852" i="1" s="1"/>
  <c r="A2856" i="1" s="1"/>
  <c r="A2858" i="1" s="1"/>
  <c r="A2863" i="1" s="1"/>
  <c r="A2865" i="1" s="1"/>
  <c r="A2869" i="1" s="1"/>
  <c r="A2881" i="1" s="1"/>
  <c r="A2882" i="1" s="1"/>
  <c r="A2884" i="1" s="1"/>
  <c r="A2885" i="1" s="1"/>
  <c r="A2886" i="1" s="1"/>
  <c r="A2888" i="1" s="1"/>
  <c r="A2891" i="1" s="1"/>
  <c r="A2893" i="1" s="1"/>
  <c r="A2896" i="1" s="1"/>
  <c r="A2898" i="1" s="1"/>
  <c r="A2900" i="1" s="1"/>
  <c r="A2903" i="1" s="1"/>
  <c r="A2905" i="1" s="1"/>
  <c r="A2908" i="1" s="1"/>
  <c r="A2913" i="1" s="1"/>
  <c r="A2917" i="1" s="1"/>
  <c r="A2922" i="1" s="1"/>
  <c r="A2929" i="1" s="1"/>
  <c r="A2935" i="1" s="1"/>
  <c r="A2941" i="1" s="1"/>
  <c r="A2949" i="1" s="1"/>
  <c r="A2951" i="1" s="1"/>
  <c r="A2952" i="1" s="1"/>
  <c r="A2953" i="1" s="1"/>
  <c r="A2955" i="1" s="1"/>
  <c r="A2957" i="1" s="1"/>
  <c r="A2963" i="1" s="1"/>
  <c r="A2965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1" i="1" s="1"/>
  <c r="A2982" i="1" s="1"/>
  <c r="A2983" i="1" s="1"/>
  <c r="A2984" i="1" s="1"/>
  <c r="A2986" i="1" s="1"/>
  <c r="A2988" i="1" s="1"/>
  <c r="A2990" i="1" s="1"/>
  <c r="A2997" i="1" s="1"/>
  <c r="A2999" i="1" s="1"/>
  <c r="A3001" i="1" s="1"/>
  <c r="A3006" i="1" s="1"/>
  <c r="A3008" i="1" s="1"/>
  <c r="A3010" i="1" s="1"/>
  <c r="A3015" i="1" s="1"/>
  <c r="A3018" i="1" s="1"/>
  <c r="A3021" i="1" s="1"/>
  <c r="A3024" i="1" s="1"/>
  <c r="A3028" i="1" s="1"/>
  <c r="A3029" i="1" s="1"/>
  <c r="A3031" i="1" s="1"/>
  <c r="A3033" i="1" s="1"/>
  <c r="A3035" i="1" s="1"/>
  <c r="A3038" i="1" s="1"/>
  <c r="A3041" i="1" s="1"/>
  <c r="A3043" i="1" s="1"/>
  <c r="A3044" i="1" s="1"/>
  <c r="A3045" i="1" s="1"/>
  <c r="A3047" i="1" s="1"/>
  <c r="A3050" i="1" s="1"/>
  <c r="A3052" i="1" s="1"/>
  <c r="A3054" i="1" s="1"/>
  <c r="A3058" i="1" s="1"/>
  <c r="A3060" i="1" s="1"/>
  <c r="A3062" i="1" s="1"/>
  <c r="A3063" i="1" s="1"/>
  <c r="A3064" i="1" s="1"/>
  <c r="A3066" i="1" s="1"/>
  <c r="A3068" i="1" s="1"/>
  <c r="A3070" i="1" s="1"/>
  <c r="A3072" i="1" s="1"/>
  <c r="A3073" i="1" s="1"/>
  <c r="A3074" i="1" s="1"/>
  <c r="A3075" i="1" s="1"/>
  <c r="A3076" i="1" s="1"/>
  <c r="A3077" i="1" s="1"/>
  <c r="A2379" i="1"/>
  <c r="A2381" i="1" s="1"/>
  <c r="A3079" i="1" l="1"/>
  <c r="A3080" i="1" s="1"/>
  <c r="A3081" i="1" s="1"/>
  <c r="A3082" i="1"/>
  <c r="A3084" i="1" s="1"/>
  <c r="A3086" i="1" s="1"/>
  <c r="A3088" i="1" s="1"/>
  <c r="A3096" i="1" s="1"/>
  <c r="A3097" i="1" s="1"/>
  <c r="A3098" i="1" s="1"/>
  <c r="A3099" i="1" s="1"/>
  <c r="A3100" i="1" s="1"/>
  <c r="A3101" i="1" s="1"/>
  <c r="A3103" i="1" s="1"/>
  <c r="A3105" i="1" s="1"/>
  <c r="A3108" i="1" s="1"/>
  <c r="A3116" i="1" s="1"/>
  <c r="A3118" i="1" s="1"/>
  <c r="A3122" i="1" s="1"/>
  <c r="A3124" i="1" s="1"/>
  <c r="A3126" i="1" s="1"/>
  <c r="A3127" i="1" s="1"/>
  <c r="A3128" i="1" s="1"/>
  <c r="A3129" i="1" s="1"/>
  <c r="A3131" i="1" s="1"/>
  <c r="A3136" i="1" s="1"/>
  <c r="A3137" i="1" s="1"/>
  <c r="A3142" i="1" s="1"/>
  <c r="A3143" i="1" s="1"/>
  <c r="A3145" i="1" s="1"/>
  <c r="A3147" i="1" s="1"/>
  <c r="A3152" i="1" s="1"/>
  <c r="A3153" i="1" s="1"/>
  <c r="A3155" i="1" s="1"/>
  <c r="A3163" i="1" s="1"/>
  <c r="A3165" i="1" l="1"/>
  <c r="A3167" i="1"/>
  <c r="A3168" i="1" s="1"/>
  <c r="A3170" i="1" s="1"/>
  <c r="A3179" i="1" s="1"/>
  <c r="A3181" i="1" s="1"/>
  <c r="A3185" i="1" s="1"/>
  <c r="A3186" i="1" s="1"/>
  <c r="A3187" i="1" s="1"/>
  <c r="A3188" i="1" s="1"/>
  <c r="A3190" i="1" s="1"/>
  <c r="A3192" i="1" s="1"/>
  <c r="A3194" i="1" s="1"/>
  <c r="A3197" i="1" s="1"/>
  <c r="A3201" i="1" s="1"/>
  <c r="A3205" i="1" s="1"/>
  <c r="A3209" i="1" s="1"/>
  <c r="A3212" i="1" s="1"/>
  <c r="A3216" i="1" s="1"/>
  <c r="A3219" i="1" s="1"/>
  <c r="A3221" i="1" s="1"/>
  <c r="A3224" i="1" s="1"/>
  <c r="A3225" i="1" s="1"/>
  <c r="A3229" i="1" s="1"/>
  <c r="A3238" i="1" s="1"/>
  <c r="A3240" i="1" s="1"/>
  <c r="A3241" i="1" s="1"/>
  <c r="A3242" i="1" s="1"/>
  <c r="A3243" i="1" s="1"/>
  <c r="A3244" i="1" s="1"/>
  <c r="A3246" i="1" s="1"/>
  <c r="A3247" i="1" s="1"/>
  <c r="A3251" i="1" s="1"/>
  <c r="A3261" i="1" s="1"/>
  <c r="A3265" i="1" s="1"/>
  <c r="A3267" i="1" s="1"/>
  <c r="A3268" i="1" s="1"/>
  <c r="A3269" i="1" s="1"/>
  <c r="A3271" i="1" s="1"/>
  <c r="A3273" i="1" s="1"/>
  <c r="A3274" i="1" s="1"/>
  <c r="A3276" i="1" s="1"/>
  <c r="A3280" i="1" l="1"/>
  <c r="A3281" i="1" s="1"/>
  <c r="A3286" i="1" s="1"/>
  <c r="A3288" i="1" s="1"/>
  <c r="A3292" i="1" s="1"/>
  <c r="A3293" i="1" s="1"/>
  <c r="A3298" i="1" s="1"/>
  <c r="A3300" i="1" s="1"/>
  <c r="A3304" i="1" s="1"/>
  <c r="A3314" i="1" s="1"/>
  <c r="A3315" i="1" s="1"/>
  <c r="A3316" i="1" s="1"/>
  <c r="A3318" i="1" s="1"/>
  <c r="A3320" i="1" s="1"/>
  <c r="A3322" i="1" s="1"/>
  <c r="A3324" i="1" s="1"/>
  <c r="A3326" i="1" s="1"/>
  <c r="A3327" i="1" s="1"/>
  <c r="A3328" i="1" s="1"/>
  <c r="A3330" i="1" s="1"/>
  <c r="A3334" i="1" s="1"/>
  <c r="A3337" i="1" s="1"/>
  <c r="A3338" i="1" s="1"/>
  <c r="A3340" i="1" s="1"/>
  <c r="A3341" i="1" s="1"/>
  <c r="A3342" i="1" s="1"/>
  <c r="A3344" i="1" s="1"/>
  <c r="A3348" i="1" s="1"/>
  <c r="A3349" i="1" s="1"/>
  <c r="A3350" i="1" s="1"/>
  <c r="A3355" i="1" s="1"/>
  <c r="A3374" i="1" s="1"/>
  <c r="A3379" i="1" s="1"/>
  <c r="A3381" i="1" s="1"/>
  <c r="A3385" i="1" s="1"/>
  <c r="A3387" i="1" s="1"/>
  <c r="A3390" i="1" s="1"/>
  <c r="A3392" i="1" s="1"/>
  <c r="A3394" i="1" s="1"/>
  <c r="A3396" i="1" s="1"/>
  <c r="A3398" i="1" s="1"/>
  <c r="A3403" i="1" s="1"/>
  <c r="A3410" i="1" s="1"/>
  <c r="A3420" i="1" s="1"/>
  <c r="A3429" i="1" s="1"/>
  <c r="A3433" i="1" s="1"/>
  <c r="A3437" i="1" s="1"/>
  <c r="A3444" i="1" s="1"/>
  <c r="A3446" i="1" s="1"/>
  <c r="A3449" i="1" s="1"/>
  <c r="A3457" i="1" s="1"/>
  <c r="A3459" i="1" s="1"/>
  <c r="A3460" i="1" s="1"/>
  <c r="A3461" i="1" s="1"/>
  <c r="A3463" i="1" s="1"/>
  <c r="A3465" i="1" s="1"/>
  <c r="A3471" i="1" s="1"/>
  <c r="A3473" i="1" s="1"/>
  <c r="A3475" i="1" s="1"/>
  <c r="A3476" i="1" s="1"/>
  <c r="A3477" i="1" s="1"/>
  <c r="A3478" i="1" s="1"/>
  <c r="A3479" i="1" s="1"/>
  <c r="A3480" i="1" s="1"/>
  <c r="A3481" i="1" s="1"/>
  <c r="A3482" i="1" s="1"/>
  <c r="A3277" i="1"/>
  <c r="A3483" i="1" l="1"/>
  <c r="A3484" i="1" s="1"/>
  <c r="A3485" i="1" s="1"/>
  <c r="A3486" i="1" s="1"/>
  <c r="A3487" i="1" s="1"/>
  <c r="A3490" i="1" s="1"/>
  <c r="A3492" i="1"/>
  <c r="A3495" i="1" s="1"/>
  <c r="A3497" i="1" s="1"/>
  <c r="A3499" i="1" s="1"/>
  <c r="A3501" i="1" s="1"/>
  <c r="A3503" i="1" s="1"/>
  <c r="A3511" i="1" s="1"/>
  <c r="A3519" i="1" s="1"/>
  <c r="A3525" i="1" s="1"/>
  <c r="A3526" i="1" s="1"/>
  <c r="A3527" i="1" s="1"/>
  <c r="A3528" i="1" s="1"/>
  <c r="A3529" i="1" s="1"/>
  <c r="A3531" i="1" s="1"/>
  <c r="A3533" i="1" s="1"/>
  <c r="A3536" i="1" s="1"/>
  <c r="A3539" i="1" s="1"/>
  <c r="A3540" i="1" s="1"/>
  <c r="A3542" i="1" s="1"/>
  <c r="A3544" i="1" s="1"/>
  <c r="A3545" i="1" s="1"/>
  <c r="A3547" i="1" s="1"/>
  <c r="A3551" i="1" s="1"/>
  <c r="A3567" i="1" s="1"/>
  <c r="A3568" i="1" s="1"/>
  <c r="A3569" i="1" s="1"/>
  <c r="A3571" i="1" s="1"/>
  <c r="A3572" i="1" s="1"/>
  <c r="A3574" i="1" s="1"/>
  <c r="A3575" i="1" s="1"/>
  <c r="A3577" i="1" s="1"/>
  <c r="A3580" i="1" s="1"/>
  <c r="A3582" i="1" s="1"/>
  <c r="A3585" i="1" s="1"/>
  <c r="A3589" i="1" s="1"/>
  <c r="A3591" i="1" s="1"/>
  <c r="A3593" i="1" s="1"/>
  <c r="A3597" i="1" s="1"/>
  <c r="A3599" i="1" s="1"/>
  <c r="A3603" i="1" s="1"/>
  <c r="A3605" i="1" s="1"/>
  <c r="A3606" i="1" s="1"/>
  <c r="A3607" i="1" s="1"/>
  <c r="A3609" i="1" s="1"/>
  <c r="A3611" i="1" s="1"/>
  <c r="A3613" i="1" s="1"/>
  <c r="A3615" i="1" s="1"/>
  <c r="A3619" i="1" s="1"/>
  <c r="A3624" i="1" s="1"/>
  <c r="A3626" i="1" s="1"/>
  <c r="A3628" i="1" s="1"/>
  <c r="A3629" i="1" s="1"/>
  <c r="A3630" i="1" s="1"/>
  <c r="A3632" i="1" s="1"/>
  <c r="A3636" i="1" s="1"/>
  <c r="A3637" i="1" s="1"/>
  <c r="A3639" i="1" s="1"/>
  <c r="A3645" i="1" s="1"/>
  <c r="A3653" i="1" s="1"/>
  <c r="A3655" i="1" s="1"/>
  <c r="A3657" i="1" s="1"/>
  <c r="A3662" i="1" s="1"/>
  <c r="A3664" i="1" s="1"/>
  <c r="A3666" i="1" s="1"/>
  <c r="A3667" i="1" s="1"/>
  <c r="A3671" i="1" s="1"/>
  <c r="A3673" i="1" s="1"/>
  <c r="A3675" i="1" s="1"/>
  <c r="A3677" i="1" s="1"/>
  <c r="A3678" i="1" s="1"/>
  <c r="A3680" i="1" s="1"/>
  <c r="A3681" i="1" s="1"/>
  <c r="A3685" i="1" s="1"/>
  <c r="A3687" i="1" s="1"/>
  <c r="A3690" i="1" s="1"/>
  <c r="A3694" i="1" s="1"/>
  <c r="A3697" i="1" s="1"/>
  <c r="A3700" i="1" s="1"/>
</calcChain>
</file>

<file path=xl/sharedStrings.xml><?xml version="1.0" encoding="utf-8"?>
<sst xmlns="http://schemas.openxmlformats.org/spreadsheetml/2006/main" count="7386" uniqueCount="1330">
  <si>
    <t>Приложение 3</t>
  </si>
  <si>
    <t>Техническое задание</t>
  </si>
  <si>
    <t>"Обустройство Орловского месторождения нефти. I этап"</t>
  </si>
  <si>
    <t>Заказчик –  АО «Самараинвестнефть»</t>
  </si>
  <si>
    <t>Генеральный директор ‑  Черкашин Виктор Алексеевич</t>
  </si>
  <si>
    <r>
      <t>Месторождение: АО «Самараинвестнефть», Орловское месторождение - Сергиевский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р-он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Самарской области.</t>
    </r>
  </si>
  <si>
    <t>Требования к выполняемым работам, предоставляемым Подрядчиком</t>
  </si>
  <si>
    <t>№ п/п</t>
  </si>
  <si>
    <t>Наименование работ</t>
  </si>
  <si>
    <t>Ед. изм.</t>
  </si>
  <si>
    <t>Объем основных работ</t>
  </si>
  <si>
    <t>Примечание</t>
  </si>
  <si>
    <t>Разгрузочные работы</t>
  </si>
  <si>
    <t>Разгрузка материалов Заказчика</t>
  </si>
  <si>
    <t>тн</t>
  </si>
  <si>
    <t>Обустройство скважины №17 Орловского месторождения</t>
  </si>
  <si>
    <t>Песок - 1,1</t>
  </si>
  <si>
    <t>Подготовительные работы</t>
  </si>
  <si>
    <t>Разработка грунта механизированным способом с перемещением до 50м в отвал группа грунтов 1(Плодородный слой)</t>
  </si>
  <si>
    <t>м3</t>
  </si>
  <si>
    <t>Погрузкой на автомобили-самосвалы механизированным способом группа грунтов 1 (Плодородный слой)</t>
  </si>
  <si>
    <t>Перевозка грузов автомобилями-самосвалами грузоподъемностью 25т работающих из карьера  на расстояние от 0,4 до 0,6 км (Плодородный слой)</t>
  </si>
  <si>
    <t>Работа на отвале, группа грунтов 1 (Плодородный слой)</t>
  </si>
  <si>
    <t>Щебень - 1,26</t>
  </si>
  <si>
    <t>Земляные работы</t>
  </si>
  <si>
    <t>Разработка грунта механизированным способом с перемещением до 50м группа 2 (Вертикальная планировка имеющегося грунта)</t>
  </si>
  <si>
    <t>Погрузкой на автомобили-самосвалы механизированным способом группа грунтов 2 (Недостаток грунта в Похвистневском районе)</t>
  </si>
  <si>
    <t>Перевозка грузов автомобилями-самосвалами грузоподъемностью 40т работающих вне карьера на расстояние до 105 км (Недостаток грунта)</t>
  </si>
  <si>
    <t>Планировка грунта механизированным способом группа грунтов 1</t>
  </si>
  <si>
    <t>м2</t>
  </si>
  <si>
    <t xml:space="preserve">По слойное 0,2м уплотнение грунта катками 14т на пневмоколесном ходу количество проходов 3 </t>
  </si>
  <si>
    <t>Возведение насыпей обвалования механизированным способом группа грунта 1</t>
  </si>
  <si>
    <t>Устройство дорожных покрытий</t>
  </si>
  <si>
    <t>Покрытие автодороги</t>
  </si>
  <si>
    <t>Устройство подстилающих и выравнивающих слоев h=0,1м оснований из песка с уплотнением (выше основания бирмы)</t>
  </si>
  <si>
    <t>м2 / м3</t>
  </si>
  <si>
    <t>1082 / 108,2</t>
  </si>
  <si>
    <t>Песок речной по ГОСТ 8736-93</t>
  </si>
  <si>
    <t xml:space="preserve">Устройство покрытий автодороги щебнем методом заклинки, толщина слоя 0,2 м </t>
  </si>
  <si>
    <t>Щебень фракции 40-70мм, М600 по ГОСТ 8267-93</t>
  </si>
  <si>
    <t>Щебень фракции 10-20мм, М600 по ГОСТ 8267-93</t>
  </si>
  <si>
    <t>Укрепление обочин</t>
  </si>
  <si>
    <t xml:space="preserve">Укрепление обочин щебнем методом заклинки, толщина слоя 0,2-0,1 м  </t>
  </si>
  <si>
    <t>Переезд через обвалования</t>
  </si>
  <si>
    <t xml:space="preserve">Укрепление обочин щебнем методом заклинки, толщина слоя 0,3 м  </t>
  </si>
  <si>
    <t>Проезд внутри обвалования</t>
  </si>
  <si>
    <t>Покрытие площадок</t>
  </si>
  <si>
    <t xml:space="preserve">Укрепление обочин щебнем методом заклинки, толщина слоя 0,2 м  </t>
  </si>
  <si>
    <t>Площадки на устье скважины</t>
  </si>
  <si>
    <t>СИН.04.20-49-Р-1.1.01-АС-Ч-002</t>
  </si>
  <si>
    <t>Площадка под ремонтный агрегат</t>
  </si>
  <si>
    <t>Устройство основания из щебня с уплотнением</t>
  </si>
  <si>
    <t>Щебень фракции 20-40мм, М600 по ГОСТ 8267-93</t>
  </si>
  <si>
    <t>Устройство подстилающего и выравнивающего слоя из песка с уплотнением</t>
  </si>
  <si>
    <t>Устройство площадки из сборных прямоугольных железобетонных плит площадью: 12 м2</t>
  </si>
  <si>
    <t>шт / м3 / тн</t>
  </si>
  <si>
    <t>4 / 6,72 / 16,8</t>
  </si>
  <si>
    <t>Плита дорожная ПДН-АIV 6000х2000х140 по Серии 3.503.1-91 вып.1</t>
  </si>
  <si>
    <t>шт</t>
  </si>
  <si>
    <t>Площадка под передвижные мостки</t>
  </si>
  <si>
    <t>Стойка С1</t>
  </si>
  <si>
    <t>Шнековое бурение скважины механизированным способом глубиной до 3м в грунтах группы 2 диаметром шнека 300мм</t>
  </si>
  <si>
    <t>м / шт</t>
  </si>
  <si>
    <t>3 / 1</t>
  </si>
  <si>
    <t>Устройство фундаментов-столбов: бетонных</t>
  </si>
  <si>
    <t>Бетон В15 W6 F200 по ГОСТ 26633-2015</t>
  </si>
  <si>
    <t>Изготовление стоек опорных из прокатной стали</t>
  </si>
  <si>
    <t>шт / тн</t>
  </si>
  <si>
    <t>1/ 0,056</t>
  </si>
  <si>
    <t>Труба 114х5 ГОСТ 10704-91</t>
  </si>
  <si>
    <t>Лист 10 ГОСТ 19903-2015</t>
  </si>
  <si>
    <t>Установка стальных конструкций, остающихся в теле бетона</t>
  </si>
  <si>
    <t>Обработка металлической поверхности пескоструйным аппаратом</t>
  </si>
  <si>
    <t xml:space="preserve">Песок кварцевый ЛПК-5 </t>
  </si>
  <si>
    <t>кг</t>
  </si>
  <si>
    <t>Обеспыливание металлических поверхностей</t>
  </si>
  <si>
    <t>Обезжиривание металлических поверхностей</t>
  </si>
  <si>
    <t>Огрунтовка металлических поверхностей за один раз: винило-эпоксидная грунтовка Виникор-061</t>
  </si>
  <si>
    <t xml:space="preserve">Грунтовка винилово-эпоксидная Виникор-061 </t>
  </si>
  <si>
    <t>Окраска металлических огрунтованных поверхностей за два раз: винило-эпоксидная эмаль Виникор-062</t>
  </si>
  <si>
    <t>Эмаль винилово-эпоксидная Виникор-62 черная</t>
  </si>
  <si>
    <t>Опора якоря оттяжки Як1</t>
  </si>
  <si>
    <t>СИН.04.20-49-Р-1.1.01-АС-Ч-004</t>
  </si>
  <si>
    <t>Шнековое бурение скважины механизированным способом глубиной до 3,5м в грунтах группы 2 диаметром шнека 500мм</t>
  </si>
  <si>
    <t>14 / 4</t>
  </si>
  <si>
    <t>4/ 0,501</t>
  </si>
  <si>
    <t>Труба 159х8 ГОСТ 8732-78</t>
  </si>
  <si>
    <t>Арматура А1 16мм ГОСТ 5781-82</t>
  </si>
  <si>
    <t>Вырезка отверстий в металлоконструкциях при толщине стали: от 5 до 10 мм</t>
  </si>
  <si>
    <t>шт / м</t>
  </si>
  <si>
    <t>4 / 0,64</t>
  </si>
  <si>
    <t>Молниеотвод МОГК-15</t>
  </si>
  <si>
    <t>СИН.04.20-49-Р-1.1.01-АС-Ч-006</t>
  </si>
  <si>
    <t>Шнековое бурение скважины механизированным способом глубиной до 3,15м в грунтах группы 2 диаметром шнека 500мм</t>
  </si>
  <si>
    <t>6,3 / 2</t>
  </si>
  <si>
    <t xml:space="preserve"> Арматура AIII 12 мм по ГОСТ 34028-2016</t>
  </si>
  <si>
    <t xml:space="preserve"> Арматура AIII 8 мм по ГОСТ 34028-2016</t>
  </si>
  <si>
    <t>2 / 0,266</t>
  </si>
  <si>
    <t>Закладная деталь ФМ-0.219-3.5 (в комплекте с МОГК-15)</t>
  </si>
  <si>
    <t>Установка стальных: отдельно стоящих молниеотводов со шпилем</t>
  </si>
  <si>
    <t>2 / 0,366</t>
  </si>
  <si>
    <t>Площадка узла замера жидкости УИ Циклон, ЗУ-17</t>
  </si>
  <si>
    <t>СИН.04.20-49-Р-1.1.01-АС-Ч-007</t>
  </si>
  <si>
    <t>Устройство подстилающего и выравнивающего слоя из щебня с уплотнением (устройство отмостки)</t>
  </si>
  <si>
    <t>СИН.04.20-49-Р-1.1.01-ТХ-Ч-004</t>
  </si>
  <si>
    <t>Площадка под энергооборудование и шкаф КИПиА</t>
  </si>
  <si>
    <t>СИН.04.20-49-Р-1.1.01-АС-Ч-008</t>
  </si>
  <si>
    <t>5 / 8,4 / 21</t>
  </si>
  <si>
    <t>Устройство подстилающего и выравнивающего слоя из щебня с уплотнением</t>
  </si>
  <si>
    <t>Изготовление площадок обслуживания одноярусных</t>
  </si>
  <si>
    <t>Лист ПВ1 506 по ТУ 36.26.11-5-89</t>
  </si>
  <si>
    <t>Швеллер 20П по ГОСТ 8240-97</t>
  </si>
  <si>
    <t>Швеллер 16П по ГОСТ 8240-97</t>
  </si>
  <si>
    <t>Уголок 75х75х5мм по ГОСТ 8509-93</t>
  </si>
  <si>
    <t>Уголок 50х50х5мм по ГОСТ 8509-93</t>
  </si>
  <si>
    <t>Уголок 25х25х3мм по ГОСТ 8509-93</t>
  </si>
  <si>
    <t>Полоса 4х140 по ГОСТ 103-2006</t>
  </si>
  <si>
    <t>Лист 10 по ГОСТ 19903-2015</t>
  </si>
  <si>
    <t>Монтаж металлических: лестниц и площадок</t>
  </si>
  <si>
    <t>Изготовление и монтаж стоек опорных из прокатной стали</t>
  </si>
  <si>
    <t>8 / 0,590</t>
  </si>
  <si>
    <t>Труба 159х8мм по ГОСТ 10704-91</t>
  </si>
  <si>
    <t>Сверление отверстий перфоратором в железобетонных конструкциях вертикальных отверстий глубиной 100 мм диаметром: 18 мм</t>
  </si>
  <si>
    <t>Постановка анкерных болтов в готовые гнезда</t>
  </si>
  <si>
    <t>2 / 0,001</t>
  </si>
  <si>
    <t>Болт БСР М16х110 по ГОСТ 28778-90</t>
  </si>
  <si>
    <t>Сверление отверстий перфоратором в железобетонных конструкциях вертикальных отверстий глубиной 100 мм диаметром: 14 мм</t>
  </si>
  <si>
    <t>32 / 0,003</t>
  </si>
  <si>
    <t>Болт БСР М12х110 по ГОСТ 28778-90</t>
  </si>
  <si>
    <t>Площадка дренажной емкости ЕД-17</t>
  </si>
  <si>
    <t>СИН.04.20-49-Р-1.1.01-АС-Ч-009</t>
  </si>
  <si>
    <t>Установка бордюров</t>
  </si>
  <si>
    <t>м</t>
  </si>
  <si>
    <t>Камень бортовой БР 100.30.15 по ГОСТ 6665-91</t>
  </si>
  <si>
    <t>Бетон В7,5 W6 F200 по ГОСТ 26633-2015</t>
  </si>
  <si>
    <t>Устройство площадки из щебня с уплотнением</t>
  </si>
  <si>
    <t xml:space="preserve">Устройство бетонной подготовки    </t>
  </si>
  <si>
    <t>Арматура АIII 12мм по ГОСТ 23279-2012</t>
  </si>
  <si>
    <t>Установка закладных деталей при бетонировании</t>
  </si>
  <si>
    <t>1 / 0,004</t>
  </si>
  <si>
    <t>Закладная деталь МН118-3 по серии 1.400-15.В1.13008</t>
  </si>
  <si>
    <t>1 / 0,042</t>
  </si>
  <si>
    <t>Уголок 90х90х7мм по ГОСТ 8509-93</t>
  </si>
  <si>
    <t>СИН.04.20-49-Р-1.1.01-ТХ-Ч-005</t>
  </si>
  <si>
    <t>Приварка фланцев к стальным трубопроводам Ду80мм</t>
  </si>
  <si>
    <t>Приварка фланцев к стальным трубопроводам Ду100мм</t>
  </si>
  <si>
    <t>Монтаж запорной арматуры фланцевой с ручным приводом на условное давление 1,6 МПа, диаметр условного прохода: 80 мм</t>
  </si>
  <si>
    <t xml:space="preserve">Задвижка клиновая с ручным приводом ЗКЛ2-80-16, DN 80, PN 1,6 МПа в комплекте с ответными фланцами по ГОСТ 33259-2015  Ст 20, прокладками Б-80-1,6 ПМБ ГОСТ 15180-86 и </t>
  </si>
  <si>
    <t>Монтаж огнепреградителя фланцевого на условное давление 1,0 МПа, диаметр условного прохода: 100 мм</t>
  </si>
  <si>
    <t>Огнепреградитель ОП-100 в комплекте с ответными фланцами крепежом и прокладками</t>
  </si>
  <si>
    <t>Изготовление и монтаж трубопровода на открытых площадках, монтируемый из труб и готовых деталей, на условное давление 1,6 МПа, диаметр труб наружный: 89 мм</t>
  </si>
  <si>
    <t>Длина указана без длины фасонных частей</t>
  </si>
  <si>
    <t>Трубы стальные бесшовные горячедеформированные сталь 20, группы В 89х6мм по ГОСТ 8732-78</t>
  </si>
  <si>
    <t>Отвод П 90-89х6 по ГОСТ 17375-2001</t>
  </si>
  <si>
    <t>Быстроразъемное соединение DN80 PN1,6 МПа (под приварку), в комплекте с заглушкой</t>
  </si>
  <si>
    <t>Изготовление и монтаж трубопровода на открытых площадках, монтируемый из труб и готовых деталей, на условное давление 1,6 МПа, диаметр труб наружный: 114 мм</t>
  </si>
  <si>
    <t>Трубы стальные бесшовные горячедеформированные сталь 20, группы В 114х5мм по ГОСТ 8732-78</t>
  </si>
  <si>
    <t>Отвод П 90-114х5 по ГОСТ 17375-2001</t>
  </si>
  <si>
    <t>Монтаж опорных конструкций для крепления трубопроводов</t>
  </si>
  <si>
    <t>3 / 0,004</t>
  </si>
  <si>
    <t>Опора 114-ТО-А1-Ст3сп6</t>
  </si>
  <si>
    <t>Опора 114-ХБ-А-Ст3сп6</t>
  </si>
  <si>
    <t>Площадка БДР-17</t>
  </si>
  <si>
    <t>СИН.04.20-49-Р-1.1.01-АС-Ч-010</t>
  </si>
  <si>
    <t>Установка блоков стен подвалов массой: 0,79 т</t>
  </si>
  <si>
    <t>32 / 11,52 / 20,48</t>
  </si>
  <si>
    <t>БЛОК БЕТОННЫЙ ФБС 12.5.6-т ГОСТ 13579-2018</t>
  </si>
  <si>
    <t>Установка блоков стен подвалов массой: 1,63 т</t>
  </si>
  <si>
    <t>4 / 1,2 / 5,2</t>
  </si>
  <si>
    <t>БЛОК БЕТОННЫЙ ФБС 24.5.6-т ГОСТ 13579-2018</t>
  </si>
  <si>
    <t>Установка блоков стен подвалов массой: 0,485 т</t>
  </si>
  <si>
    <t>4 / 0,864 / 1,9</t>
  </si>
  <si>
    <t>БЛОК БЕТОННЫЙ ФБС 12.3.6-т ГОСТ 13579-2018</t>
  </si>
  <si>
    <t>Песок речной средней крупности  по ГОСТ 8736-2014</t>
  </si>
  <si>
    <t>Гидроизоляция бетонных поверхностей горячим битумом</t>
  </si>
  <si>
    <t>Битум БН 70/30 по ГОСТ 6617-76* за 2 слоя (при расходе 2кг/м2)</t>
  </si>
  <si>
    <t>Опора С1-С2</t>
  </si>
  <si>
    <t>2 / 0,007</t>
  </si>
  <si>
    <t>2 / 0,052</t>
  </si>
  <si>
    <t>Труба 89х6 по ГОСТ 10704-91</t>
  </si>
  <si>
    <t>СИН.04.20-49-Р-1.1.01-АС-Ч-011</t>
  </si>
  <si>
    <t>Площадка обслуживания Пл1</t>
  </si>
  <si>
    <t>Уголок 110х70х8мм по ГОСТ 8509-93</t>
  </si>
  <si>
    <t>Полоса 4х40 по ГОСТ 103-2006</t>
  </si>
  <si>
    <t>Полоса 4х150 по ГОСТ 103-2006</t>
  </si>
  <si>
    <t>Лист 8 по ГОСТ 19903-2015</t>
  </si>
  <si>
    <t>Швеллер 12П по ГОСТ 8240-97</t>
  </si>
  <si>
    <t>Устройство: бетонных ступеней</t>
  </si>
  <si>
    <t>2 / 0,073</t>
  </si>
  <si>
    <t>Швеллер 30П по ГОСТ 8240-97</t>
  </si>
  <si>
    <t>СИН.04.20-49-Р-1.1.01-ТХ-Ч-003</t>
  </si>
  <si>
    <t>Монтаж оборудования на открытой площадке, масса оборудования: 4,7 т (установка дозировочная химреагента)</t>
  </si>
  <si>
    <t>Установка дозировочная химреагента</t>
  </si>
  <si>
    <t>Приварка фланцев к стальным трубопроводам Ду32мм</t>
  </si>
  <si>
    <t>Монтаж запорной арматуры фланцевой с ручным приводом на условное давление 10 МПа, диаметр условного прохода: 25 мм</t>
  </si>
  <si>
    <t>Кран шаровый с ручным приводом фланцевый, DN 25 PN10 МПа с ручным управлением, в комплекте с ответными фланцами по ГОСТ 33259-2015  Ст 20, прокладками и крепежом</t>
  </si>
  <si>
    <t>Монтаж запорной арматуры фланцевой с ручным приводом на условное давление 1,6 МПа, диаметр условного прохода: 50 мм</t>
  </si>
  <si>
    <t>Кран шаровый с ручным приводом фланцевый, DN 50 PN1,6 МПа с ручным управлением, в комплекте с ответными фланцами по ГОСТ 33259-2015  Ст 20, прокладками и крепежом</t>
  </si>
  <si>
    <t xml:space="preserve">Задвижка клиновая с ручным приводом ЗКЛ2-50-16, DN 50, PN 1,6 МПа в комплекте с ответными фланцами по ГОСТ 33259-2015  Ст 20, прокладками Б-50-1,6 ПМБ ГОСТ 15180-86 и </t>
  </si>
  <si>
    <t>Изготовление и монтаж трубопровода на открытых площадках, монтируемый из труб и готовых деталей, на условное давление 1,6 МПа, диаметр труб наружный: 32 мм</t>
  </si>
  <si>
    <t>Трубы стальные бесшовные горячедеформированные сталь 20, группы В 32х4мм по ГОСТ 8732-78</t>
  </si>
  <si>
    <t>Изготовление и монтаж трубопровода на открытых площадках, монтируемый из труб и готовых деталей, на условное давление 1,6 МПа, диаметр труб наружный: 57 мм</t>
  </si>
  <si>
    <t>Трубы стальные бесшовные горячедеформированные сталь 20, группы В 57х4мм по ГОСТ 8732-78</t>
  </si>
  <si>
    <t>Переход ПК-57х6-32х4 по ГОСТ 17378-2001</t>
  </si>
  <si>
    <t>Отвод П 90-57х4 по ГОСТ 17375-2001</t>
  </si>
  <si>
    <t>Отвод П 90-80х6 по ГОСТ 17375-2001</t>
  </si>
  <si>
    <t>Переход ПК-89х6-57х4 по ГОСТ 17378-2001</t>
  </si>
  <si>
    <t>Быстроразъемное соединение DN50 PN1,6 МПа (под приварку), в комплекте с заглушкой</t>
  </si>
  <si>
    <t>2 / 0,003</t>
  </si>
  <si>
    <t>Опора 32-ТХ-АС10-Ст3сп6</t>
  </si>
  <si>
    <t>Опора 57-КХ-А11-Ст3сп6</t>
  </si>
  <si>
    <t>Инженерные сети</t>
  </si>
  <si>
    <t>СИН.04.20-49-Р-1.1.01-АС-Ч-012</t>
  </si>
  <si>
    <t>Шнековое бурение скважины механизированным способом глубиной до 2,0м в грунтах группы 2 диаметром шнека 400мм</t>
  </si>
  <si>
    <t>26 / 13</t>
  </si>
  <si>
    <t>Шнековое бурение скважины механизированным способом глубиной до 2,0м в грунтах группы 2 диаметром шнека 600мм</t>
  </si>
  <si>
    <t>4 / 2</t>
  </si>
  <si>
    <t>Изготовление стоек опорных из прокатной стали (Ст2, Ст3)</t>
  </si>
  <si>
    <t>13/ 0,595</t>
  </si>
  <si>
    <t>Труба 219х6 ГОСТ 10704-91</t>
  </si>
  <si>
    <t>Лист 6 ГОСТ 19903-2015</t>
  </si>
  <si>
    <t>Изготовление стоек опорных из прокатной стали (Ст1, Ст4-Ст15)</t>
  </si>
  <si>
    <t>13/ 0,632</t>
  </si>
  <si>
    <t>Труба 114х6 ГОСТ 10704-91</t>
  </si>
  <si>
    <t>Изготовление и монтаж металлической балки</t>
  </si>
  <si>
    <t>Вырезка отверстий в металлоконструкциях при толщине стали: 10 мм</t>
  </si>
  <si>
    <t>СИН.04.20-49-Р-1.1.01-ТХ-Ч-006</t>
  </si>
  <si>
    <t>Клапан обратный поворотный фланцевый, DN 25 PN10 МПа , в комплекте с ответными фланцами по ГОСТ 33259-2015  Ст 20, прокладками и крепежом</t>
  </si>
  <si>
    <t>Отвод П 90-32х4 по ГОСТ 17375-2001</t>
  </si>
  <si>
    <t>39 / 0,043</t>
  </si>
  <si>
    <t>Изготовление и монтаж узла трубопроводов из стальных труб, монтируемого в траншеях, диаметр трубопровода наружный: 89 мм</t>
  </si>
  <si>
    <t>Труба стальная бесшовная горячедеформированная с заводской с заводской наружной двуслойной изоляцией на основе экструдированного полиэтилена, из стали 20 группа В 89х6</t>
  </si>
  <si>
    <t>Тройник П 89х6 по ГОСТ 17376-2001</t>
  </si>
  <si>
    <t xml:space="preserve">Разработка траншеи механизированным способом под трубопровод в отвал, группа грунтов 2 </t>
  </si>
  <si>
    <t>Трубопроводы в траншеях, монтируемые из труб и готовых деталей, на номинальное давление 1,6 МПа  диаметр трубопровода наружный: до 89 мм</t>
  </si>
  <si>
    <t>Отвод П 45-89х6 по ГОСТ 17375-2001</t>
  </si>
  <si>
    <t>Изоляция термоусаживающимися манжетами вручную стыков изолированных труб: Ду 80 мм</t>
  </si>
  <si>
    <t>Комплект Манжета ТИАЛ-М 89.450.1,4 ТУ 2293-002-58210788-2004</t>
  </si>
  <si>
    <t xml:space="preserve">Обратная засыпка траншеи механизированным способом с перемещением грунта 10м группа грунтов 1 </t>
  </si>
  <si>
    <t>СИН.04.20-49-Р-1.1.01-ТХ-Ч-007</t>
  </si>
  <si>
    <t>Заземление оборудования: местное</t>
  </si>
  <si>
    <t>Полоса 4х50 оцинкованная по ГОСТ 103-2006</t>
  </si>
  <si>
    <t>Шпилька М16х80.58  по ГОСТ 22040-76</t>
  </si>
  <si>
    <t>Гайка М16-6Н.5(S24) о ГОСТ 5915-70*</t>
  </si>
  <si>
    <t>Шпилька М10х130.58 по ГОСТ 22040-76</t>
  </si>
  <si>
    <t>Болт М10х30.58 (S16) по ГОСТ 7798-70*</t>
  </si>
  <si>
    <t>Гайка М10-6Н.5(S16) по ГОСТ 5915-70*</t>
  </si>
  <si>
    <t>Шайба 10 по ГОСТ 11371-78*</t>
  </si>
  <si>
    <t>Пожаротушение</t>
  </si>
  <si>
    <t>СИН.04.20-49-Р-1.1.01-ПТ-Ч-002</t>
  </si>
  <si>
    <t xml:space="preserve">Установка щитов пожарных </t>
  </si>
  <si>
    <t>компл</t>
  </si>
  <si>
    <t>Щит пожарный укомплектованный ЩП-В:                                                                                  Лом                                                                                                                                              Ведро                                                                                                                                           Покрывало для изоляции очага возгорания                                                                                Лопата штыковая                                                                                                                         Лопата совковая                                                                                                                          Ящик для песка</t>
  </si>
  <si>
    <t>Щит пожарный укомплектованный ЩП-Е:                                                                                  Крюк с деревянной рукояткой                                                                                                    Комплект для резки электропроводов: ножницы, диэлектрические боты и коврик                    Покрывало для изоляции очага возгорания                                                                                Лопата совковая                                                                                                                          Ящик для песка</t>
  </si>
  <si>
    <t>Электроснабжение</t>
  </si>
  <si>
    <t>СИН.04.20-49-Р-1.1.01-ЭС</t>
  </si>
  <si>
    <t>Коробка с зажимами, устанавливаемая на конструкции на стене или колонне, для кабелей или проводов сечением: до 16 мм2, с количеством зажимов до 4</t>
  </si>
  <si>
    <t>Шкаф соединительный высоковольтный газоотделительный 6 кв ШСВГ-6</t>
  </si>
  <si>
    <t>Разработка грунта механизированным способом с перемещением до 50м, группа грунтов 2</t>
  </si>
  <si>
    <t>Прокладка кабеля по установленным конструкциям масса 1м кабеля до 1кг</t>
  </si>
  <si>
    <t>Кабель ВБбШвнг(А)-LS 3х2,5-0,6кВ</t>
  </si>
  <si>
    <t>Прокладка кабеля в готовых траншеях масса 1м кабеля до 1кг</t>
  </si>
  <si>
    <t>Кабель ВБбШвнг(А)-LS 5х6-0,6кВ</t>
  </si>
  <si>
    <t>Прокладка кабеля в готовых траншеях масса 1м кабеля до 2кг</t>
  </si>
  <si>
    <t>Кабель ВБбШвнг(А)-LS 3х25-3,3кВ</t>
  </si>
  <si>
    <t>Прокладка кабеля в лотках с креплением по всей длине масса 1м кабеля до 4кг</t>
  </si>
  <si>
    <t>Кабель ВБбШвнг(А)-LS 4х95-0,6кВ</t>
  </si>
  <si>
    <t>Прокладка кабеля в готовых траншеях масса 1м кабеля до 5кг</t>
  </si>
  <si>
    <t>Кабель ВБбШвнг(А)-LS 5х95-0,6кВ</t>
  </si>
  <si>
    <t>Установка наконечников кабельных</t>
  </si>
  <si>
    <t>Наконечники кабельные для кабеля с медными жилами сеч. 95 мм.кв. ТЛ 50-10-11</t>
  </si>
  <si>
    <t>Наконечники кабельные для кабеля с медными жилами сеч. 25 мм.кв. ТЛ 16-6-6</t>
  </si>
  <si>
    <t>Наконечники кабельные для кабеля с медными жилами сеч. 6 мм.кв. ТЛ 6-5-4</t>
  </si>
  <si>
    <t>Укладка футляра в траншее под кабель</t>
  </si>
  <si>
    <t>м / тн</t>
  </si>
  <si>
    <t>20 / 0,130</t>
  </si>
  <si>
    <t>Труба стальная водогазопроводная  100,4,5 по ГОСТ 3262-75</t>
  </si>
  <si>
    <t>Труба стальная водогазопроводная  32х2,8 по ГОСТ 3262-75</t>
  </si>
  <si>
    <t>Устройство постели при одном кабеле в траншее</t>
  </si>
  <si>
    <t>м / м3</t>
  </si>
  <si>
    <t>110 / 21,14</t>
  </si>
  <si>
    <t>Рукав металлический наружным диаметром: до 100 мм</t>
  </si>
  <si>
    <t>Металлорукав МРПИ нг 100 ТУ 4833-024-01877509-02</t>
  </si>
  <si>
    <t>Термоусадочные трубки ТУТ-100/50</t>
  </si>
  <si>
    <t>Рукав металлический наружным диаметром: до 48 мм</t>
  </si>
  <si>
    <t>Металлорукав МРПИ нг 32 ТУ 4833-024-01877509-02</t>
  </si>
  <si>
    <t>Термоусадочные трубки ТУТ-35/15</t>
  </si>
  <si>
    <t>Покрытие кабеля, проложенного в траншее: лентой сигнальной</t>
  </si>
  <si>
    <t>Лента сигнальная ЛСЭ 250мм "Осторожно кабель" 100м.п.</t>
  </si>
  <si>
    <t>Лоток металлический штампованный по установленным конструкциям, шириной до 200мм</t>
  </si>
  <si>
    <t>м /шт /тн</t>
  </si>
  <si>
    <t>6 / 2 / 0,005</t>
  </si>
  <si>
    <t>Лоток перфорированный прямой 80х100х3000</t>
  </si>
  <si>
    <t>Крышка лотка 100х3000</t>
  </si>
  <si>
    <t>Заглушка ТС 80х100</t>
  </si>
  <si>
    <t>Винт М6х10</t>
  </si>
  <si>
    <t>Гайка М6</t>
  </si>
  <si>
    <t>Болт М8х60</t>
  </si>
  <si>
    <t>Гайка М8</t>
  </si>
  <si>
    <t>Заделка концевая сухая для контрольного кабеля сечением одной жилы: до 2,5 мм2, количество жил до 4</t>
  </si>
  <si>
    <t>Заделка концевая сухая для контрольного кабеля сечением одной жилы: до 6 мм2, количество жил до 7</t>
  </si>
  <si>
    <t>Заделка концевая сухая для 3-5-жильного кабеля с пластмассовой и резиновой изоляцией напряжением: до 10 кВ, сечение одной жилы до 35 мм2</t>
  </si>
  <si>
    <t>Заделка концевая сухая для 3-5-жильного кабеля с пластмассовой и резиновой изоляцией напряжением: до 1 кВ, сечение одной жилы до 120 мм2</t>
  </si>
  <si>
    <t>Присоединение к зажимам жил проводов или кабелей сечением: до 2,5 мм2</t>
  </si>
  <si>
    <t>Присоединение к зажимам жил проводов или кабелей сечением: до 6 мм2</t>
  </si>
  <si>
    <t>Присоединение к зажимам жил проводов или кабелей сечением: до 35 мм2</t>
  </si>
  <si>
    <t>Присоединение к зажимам жил проводов или кабелей сечением: до 150 мм2</t>
  </si>
  <si>
    <t>Заземление</t>
  </si>
  <si>
    <t xml:space="preserve">Разработка траншеи под горизонтальный зеземлитель механизированным способом в отвал, группа грунтов 2 </t>
  </si>
  <si>
    <t xml:space="preserve">Засыпка траншеи под горизонтальный зеземлитель механизированным способом с перемещением грунта до 5м, группа грунтов 1 </t>
  </si>
  <si>
    <t>Уплотнение грунта вибротрамбовками: группа грутов 1</t>
  </si>
  <si>
    <t>Забивка вертикальных заземлителей механизированная на глубину 5 м</t>
  </si>
  <si>
    <t>Круг стальной оцинкованный 16мм по ГОСТ 103-76</t>
  </si>
  <si>
    <t>Устройство заземления из полосовой стали сечением 200мм</t>
  </si>
  <si>
    <t>Полоса сталь 40мм 5мм оцинкованная</t>
  </si>
  <si>
    <t>Проводник заземляющий открыто по строительным основаниям: из полосовой стали сечением 200 мм2</t>
  </si>
  <si>
    <t>Проводник заземляющий из медного изолированного провода сечением 25 мм2 открыто по строительным основаниям</t>
  </si>
  <si>
    <t>Провод ПуГВ 1х6мм</t>
  </si>
  <si>
    <t>Хомут заземления трубный ТХ3 (INOX)-2"</t>
  </si>
  <si>
    <t>Хомут заземления трубный ТХ3 (INOX)-1"</t>
  </si>
  <si>
    <t>Болт М6х18</t>
  </si>
  <si>
    <t>Шайба 6</t>
  </si>
  <si>
    <t>Автоматизация комплексная</t>
  </si>
  <si>
    <t>СИН.04.20-49-Р-1.1.01-АК</t>
  </si>
  <si>
    <t>Прибор, устанавливаемый на резьбовых соединениях, масса:  1,5 кг (Монтаж интеллектуального датчика избыточного давления взрывлзащищенного)</t>
  </si>
  <si>
    <t>Датчик избыточного давлений (штуцерного
исполнения) Метран-150TG3 (0-4МПа) 2G 2 1 A M5 2F 2 B4 K12
Диапазон измерения: 0…4 МПа (код. диапаз. 3)
Технологическое соединение: М20х1,5 (2G)
Материал разделительной мембраны: нержавеющая
сталь 316 (2)
Заполняющая жидкость: силиконовое масло (1)
Выходной сигнал: 4-20 мА (A)
Индикация: встроенный ЖКИ с клавиатурой (M5)
Монтажные части: нипель с накидной гайкой
М20х1,5(2F) Материал монтажных частей:
нержавеющая сталь 12Х18Н10Т (2)
Монтажный кронштейн для крепления на панели или
трубе 55±5 мм (B4)
Кабельный ввод диаметром 6,5-13,9 мм, диаметр
брони 12,5-20,9 мм, взрывозащищенный (К12) исполнение по взрывозащите Exd (согласно SIN.04.20-49-R-1.1.01-AK-ОЛ1)</t>
  </si>
  <si>
    <t>Бобышки, штуцеры на условное давление: 1,6 Мпа</t>
  </si>
  <si>
    <t>1 шт.</t>
  </si>
  <si>
    <t>Бобышка 1-1-М20х1,5-100 в комплекте: прокладка 15, пробка 1-М20х1,5 по ОСТ 26.260.460-99</t>
  </si>
  <si>
    <t>Вентиль прямоточный под манометр ВПЭМ 5х35</t>
  </si>
  <si>
    <t xml:space="preserve">Прибор, устанавливаемый на резьбовых соединениях, масса: до 1,5 кг (Монтаж манометра электроконтактного) </t>
  </si>
  <si>
    <t>Манометр взрывозащищенный сигнализирующий коррозионностойкий без фланца, штуцер радиальный ДМ2005Cr1Ex-У3 (-40…+60)С-4,0МПа-1,5-IP54-Пл по ТУ 4212-040-00225590-2001 (согласно ОЛ)</t>
  </si>
  <si>
    <t xml:space="preserve">Прибор, устанавливаемый на резьбовых соединениях, масса: до 1,5 кг (Монтаж манометра показывающего) </t>
  </si>
  <si>
    <t>Манометр показывающий коррозиостойкий МП4А-Кс-УХЛ1-4МПа-1.5-IP65 - M20x1.5-8g-УПД Диаметр корпуса- 160мм Пределы измерения 0..4 Мпа Класс точности-1,5 Климатическое исполнение- УХЛ1 (от -50 до +50 °С) Присоединение к процессу- резьба М20х1,5 ТУ 25-7329.002-96</t>
  </si>
  <si>
    <t xml:space="preserve">Первичный преобразователь уровнемер, устанавливаемый на резервуаре, работающем: при атмосферном давлении, масса до 10 кг (Монтаж уровнемера) </t>
  </si>
  <si>
    <t>Уровнемер Vegapuls 31 вид взрывозащиты 1Exd, степень защиты IP66, климатическое исполнение УХЛ1</t>
  </si>
  <si>
    <t>Щиты и пульты, масса: до 100 кг (Установка шкафа телемеханики)</t>
  </si>
  <si>
    <t>Шкаф телемеханики (согласно ОЛ)</t>
  </si>
  <si>
    <t xml:space="preserve">Кабель КУПЭКШВнг(А)-LS 4х1,5 </t>
  </si>
  <si>
    <t>Кабель КУПЭКШВнг(А)-LS- 2х2x1</t>
  </si>
  <si>
    <t>Труба стальная по установленным конструкциям, в готовых бороздах, по основанию пола, диаметр: до 25 мм</t>
  </si>
  <si>
    <t>Труба стальная водогазопроводная 20х2,8 ГОСТ 3262-75 Ст.20</t>
  </si>
  <si>
    <t>Металлорукав МРПИ нг 20 ТУ 4833-024-01877509-02</t>
  </si>
  <si>
    <t>Адаптер труба-рукав АТР 20</t>
  </si>
  <si>
    <t>Адаптер рукав-коробка РКн-20</t>
  </si>
  <si>
    <t>Двустенная труба ПНД гибкая для кабельной канализации д.110мм с протяжкой</t>
  </si>
  <si>
    <t>Рама под аппаратуру, площадь основания оборудования: до 0,5 м2</t>
  </si>
  <si>
    <t>Профиль Z-образный К238</t>
  </si>
  <si>
    <t>Стяжка кабельная СКСп 5х200</t>
  </si>
  <si>
    <t>упак</t>
  </si>
  <si>
    <t>Присоединение жил контрольных кабелей сечением: до 6 мм2</t>
  </si>
  <si>
    <t>Нефтегазосборный трубопровод от ЗУ-17 до УПСВ Орловского месторождения</t>
  </si>
  <si>
    <t>Крановый узел</t>
  </si>
  <si>
    <t>СИН.04.20-49-Р-1.1.01-АС-Ч-013</t>
  </si>
  <si>
    <t>Изготовление стоек опорных из прокатной стали (С1, С2, С3)</t>
  </si>
  <si>
    <t>3/ 0,130</t>
  </si>
  <si>
    <t>СИН.04.20-49-Р-1.1.02-ТХ-Ч-005</t>
  </si>
  <si>
    <t>Монтаж запорной арматуры фланцевой с ручным приводом на условное давление 10 МПа, диаметр условного прохода: 15 мм</t>
  </si>
  <si>
    <t>Кран шаровый с ручным приводом фланцевый, DN 15 PN10 МПа с ручным управлением, в комплекте с ответными фланцами по ГОСТ 33259-2015  Ст 20, прокладками и крепежом</t>
  </si>
  <si>
    <t>Бобышка специальная К1/2" PN100 БП01-К1/2"-50-20-УХЛ</t>
  </si>
  <si>
    <t xml:space="preserve">Прибор, устанавливаемый на резьбовых соединениях, масса: 1,5 кг (Монтаж манометра показывающего) </t>
  </si>
  <si>
    <t>Манометр показывающий коррозиостойкий МП4А-Кс-УХЛ1-4МПа-4.0-IP65 - M20x1.5-8g-УПД Диаметр корпуса- 160мм Пределы измерения 0..4 Мпа Класс точности-1,5 Климатическое исполнение- УХЛ1 (от -50 до +50 °С) Присоединение к процессу- резьба К1/2" ТУ 25-7329.002-96</t>
  </si>
  <si>
    <t>3 / 0,003</t>
  </si>
  <si>
    <t>Опора 219-КХ-А11</t>
  </si>
  <si>
    <t>Изоляция плоских и криволинейных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</si>
  <si>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Маты прошивные из минеральной ваты теплоизоляционные
в обкладке из стеклоткани ГОСТ 21880-94* М2-100-1500.1000.60-2</t>
  </si>
  <si>
    <t>Покрытие изоляции плоских (криволинейных) поверхностей листовым металлом с заготовкой покрытия</t>
  </si>
  <si>
    <t>Детали защитных покрытий конструкций тепловой изоляции , из стали тонколистовой оцинкованной  ГОСТ 14918-80*, толщиной 0,5 мм</t>
  </si>
  <si>
    <t>Теплоизоляция арматуры и фланцевых соединений съемными термочехлами диаметром до 200мм</t>
  </si>
  <si>
    <t>Термочехол для задвижки Ду219 Ру16</t>
  </si>
  <si>
    <t>СИН.04.20-49-Р-1.1.01-ТХ-Ч-008</t>
  </si>
  <si>
    <t>СИН.04.20-49-Р-1.1.02-ТХ-Ч-007</t>
  </si>
  <si>
    <t>Знак опознавательный - 5шт</t>
  </si>
  <si>
    <t>Шнековое бурение скважины механизированным способом глубиной до 0,6м в грунтах группы 2 диаметром шнека 300мм</t>
  </si>
  <si>
    <t>3 / 5</t>
  </si>
  <si>
    <t>Знак опознавательный (согласно ОЛ)</t>
  </si>
  <si>
    <t>Обустройство скважины №18 Орловского месторождения</t>
  </si>
  <si>
    <t>СИН.04.20-49-Р-1.1.03-АС-Ч-002</t>
  </si>
  <si>
    <t>СИН.04.20-49-Р-1.1.03-АС-Ч-004</t>
  </si>
  <si>
    <t>СИН.04.20-49-Р-1.1.03-АК</t>
  </si>
  <si>
    <t>Прибор, устанавливаемый на резьбовых соединениях, масса: до 1,5 кг (Монтаж интеллектуального датчика избыточного давления взрывлзащищенного)</t>
  </si>
  <si>
    <t>Датчик избыточного давлений (штуцерного
исполнения) Метран-150TG3 (0-25МПа) 2G 2 1 A M5 2F 2 B4 K12
Диапазон измерения: 0…25 МПа 
Технологическое соединение: М20х1,5 (2G)
Материал разделительной мембраны: нержавеющая
сталь 316 (2)
Заполняющая жидкость: силиконовое масло (1)
Выходной сигнал: 4-20 мА (A)
Индикация: встроенный ЖКИ с клавиатурой (M5)
Монтажные части: нипель с накидной гайкой
М20х1,5(2F) Материал монтажных частей:
нержавеющая сталь 12Х18Н10Т (2)
Монтажный кронштейн для крепления на панели или
трубе 55±5 мм (B4)
Кабельный ввод диаметром 6,5-13,9 мм, диаметр
брони 12,5-20,9 мм, взрывозащищенный (К12) исполнение по взрывозащите 1Exd  (Согласно SIN.04.20-49-R-1.1.03-AK-ОЛ1)</t>
  </si>
  <si>
    <t xml:space="preserve">УПСВ </t>
  </si>
  <si>
    <t>Площадка налива нефти АСН-1</t>
  </si>
  <si>
    <t>СИН.04.20-49-Р-1.2.01-АС-002</t>
  </si>
  <si>
    <t>Демонтаж дорожных покрытий из сборных прямоугольных железобетонных плит</t>
  </si>
  <si>
    <t>11 / 18,48 / 46,2</t>
  </si>
  <si>
    <t xml:space="preserve">Разборка покрытий и оснований: щебеночных </t>
  </si>
  <si>
    <t>Планировка грунта механизированным способом группа грунтов 2</t>
  </si>
  <si>
    <t>Устройство фундаментных плит железобетонных: плоских</t>
  </si>
  <si>
    <t xml:space="preserve">Арматура АIII Ø12мм по ГОСТ 5781-82* </t>
  </si>
  <si>
    <t xml:space="preserve">Арматура АIII Ø8мм по ГОСТ 5781-82* </t>
  </si>
  <si>
    <t>Устройство: железобетонных пандусов</t>
  </si>
  <si>
    <t xml:space="preserve">Разработка грунта механизированным способом, группа грунтов 2, на глубину 0,25м </t>
  </si>
  <si>
    <t>Устройство подстилающих и выравнивающих слоев h=0,05м оснований из песка</t>
  </si>
  <si>
    <t>Устройство дорожных покрытий из сборных прямоугольных железобетонных плит площадью: 5,4 м2</t>
  </si>
  <si>
    <t>шт / тн /м3</t>
  </si>
  <si>
    <t>5 / 11 / 8,1</t>
  </si>
  <si>
    <t>Плита дорожная 2П30.18-30 по ГОСТ 21924.0-84</t>
  </si>
  <si>
    <t>СИН.04.20-49-Р-1.2.01-ТХ-002</t>
  </si>
  <si>
    <t>Монтаж оборудования без механизмов на открытой площадке, масса оборудования свыше 1,4т (блок автомитизированный системы налива АСН)</t>
  </si>
  <si>
    <t>Блок автоматизированной системы налива АСН-1, массой 1,4т</t>
  </si>
  <si>
    <t>СИН.04.20-49-Р-1.2.02-ЭС-002</t>
  </si>
  <si>
    <t>Заземлитель горизонтальный из стали: полосовой сечением 200 мм2</t>
  </si>
  <si>
    <t xml:space="preserve"> Сталь полосовая 5х40 мм оцинкованная по ГОСТ 103-2006</t>
  </si>
  <si>
    <t>Заземлитель вертикальный из круглой стали диаметром: 16 мм</t>
  </si>
  <si>
    <t xml:space="preserve"> Сталь круглая, оцинкованная, ∅16 мм оцинкованная по ГОСТ 2590-2006</t>
  </si>
  <si>
    <t>Провод с медными жилами, для заземления, с изоляцией желто-зеленого цвета, сечением 6 мм.кв. ПуГВ 1х6 по ГОСТ 31565-2012</t>
  </si>
  <si>
    <t xml:space="preserve"> Наконечники кабельные для кабеля с медными жилами сечением 6 мм.кв. ТМЛ 6–5–4 ГОСТ 7386-80</t>
  </si>
  <si>
    <t xml:space="preserve"> Болт 6х18 по ГОСТ 7798-70*</t>
  </si>
  <si>
    <t>Гайка М6 по ГОСТ 5915-70*</t>
  </si>
  <si>
    <t>Шайба 6 по ГОСТ 11371-78</t>
  </si>
  <si>
    <t>Технологическая площадка №2</t>
  </si>
  <si>
    <t>Монтаж запорной арматура фланцевой с ручным приводом на условное давление 1,6 МПа, диаметр условного прохода: 200 мм</t>
  </si>
  <si>
    <t>Задвижка клиновая с ручным приводом ЗКЛ2-200-16, DN 200, PN 1,6 МПа в комплекте с ответными фланцами по ГОСТ 33259-2015  Ст 20, прокладками  и крепежом</t>
  </si>
  <si>
    <t>Монтаж запорной арматура фланцевой с электрическим приводом на условное давление 1,6 МПа, диаметр условного прохода: 200 мм</t>
  </si>
  <si>
    <t>Задвижка клиновая электроприводная DN 200,  PN 4,0 МПа в комплекте с ответными фланцами по ГОСТ 33259-2015  Ст 20, прокладками  и крепежом (согласно ОЛ)</t>
  </si>
  <si>
    <t>Изготовление и монтаж трубопровода на открытых площадках, монтируемый из труб и готовых деталей, на условное давление 1,6 МПа, диаметр труб наружный: 108 мм</t>
  </si>
  <si>
    <t>Трубы стальные бесшовные горячедеформированные сталь 20, группы В 108х6мм по ГОСТ 8732-78</t>
  </si>
  <si>
    <t>Отвод П 90-108х6 по ГОСТ 17375-2001</t>
  </si>
  <si>
    <t>Изготовление и монтаж трубопровода на открытых площадках, монтируемый из труб и готовых деталей, на условное давление 1,6 МПа, диаметр труб наружный: 219 мм</t>
  </si>
  <si>
    <t>Трубы стальные бесшовные горячедеформированные сталь 20, группы В 219х8мм по ГОСТ 8732-78</t>
  </si>
  <si>
    <t>Отвод П 90-219х8 по ГОСТ 17375-2001</t>
  </si>
  <si>
    <t>Тройник П 219х8 по ГОСТ 17376-2001</t>
  </si>
  <si>
    <t>Переход ПК 219х10-108х6</t>
  </si>
  <si>
    <t>10 / 0,080</t>
  </si>
  <si>
    <t>Опора 89-КХ-А11-Ст3сп6</t>
  </si>
  <si>
    <t>Опора 108-КХ-А11-Ст3сп6</t>
  </si>
  <si>
    <t>Опора 219-КХ-А11-Ст3сп6</t>
  </si>
  <si>
    <t>СИН.04.20-49-Р-1.2.01-ЭС-006</t>
  </si>
  <si>
    <t>СИН.04.20-49-Р-1.2.01-АК-002</t>
  </si>
  <si>
    <t>Кабель до 35 кВ в проложенных трубах, блоках и коробах, с креплением на поворотах и концах трассы, масса 1 м кабеля: до 1 кг</t>
  </si>
  <si>
    <t>Кабель ВБбШвнг(А)-LS-5х1,5</t>
  </si>
  <si>
    <t>Кабель ВБбШвнг(А)-LS-3х1,5</t>
  </si>
  <si>
    <t>Кабель ВБбШвнг(А)-LS-3х6</t>
  </si>
  <si>
    <t>Кабель КУПЭКШВнг(А)-LS-6х1,0</t>
  </si>
  <si>
    <t>Кабель КУПЭКШВнг(А)-LS-10х1,0</t>
  </si>
  <si>
    <t>Кабель КУПЭКШВнг(А)-LS-16х1,0</t>
  </si>
  <si>
    <t>Кабель КУПЭКШВнг(А)-LS-18х1,0</t>
  </si>
  <si>
    <t>Кабель КУПЭКШВнг(А)-LS-25х1,0</t>
  </si>
  <si>
    <t>Кабель коаксиальный радиочастотный оплетка медной луженой проволокой безгалогенный РК75-3.7-330фКнг(С)-HF</t>
  </si>
  <si>
    <t>Бирка маркировочная У136</t>
  </si>
  <si>
    <t>заделка швов раствором</t>
  </si>
  <si>
    <t>Площадка налива нефти АСН-2</t>
  </si>
  <si>
    <t>СИН.04.20-49-Р-1.2.02-АС-002</t>
  </si>
  <si>
    <t>10 / 16,8 / 42</t>
  </si>
  <si>
    <t>СИН.04.20-49-Р-1.2.02-ТХ-002</t>
  </si>
  <si>
    <t>СИН.04.20-49-Р-1.2.02-ЭС-006</t>
  </si>
  <si>
    <t>Наконечники кабельные для кабеля с медными жилами сечением 6 мм.кв. ТМЛ 6–5–4 ГОСТ 7386-80</t>
  </si>
  <si>
    <t>Болт 6х18 по ГОСТ 7798-70*</t>
  </si>
  <si>
    <t>Проверка наличия цепи между заземлителями и заземленными элементами</t>
  </si>
  <si>
    <t>Измерение сопротивления заземляющегося устройства</t>
  </si>
  <si>
    <t>контур</t>
  </si>
  <si>
    <t>СИН.04.20-49-Р-1.2.02-АК-002</t>
  </si>
  <si>
    <t>Кабель КУПЭКШВнг(А)-LS-4х1,5</t>
  </si>
  <si>
    <t>Кабель КУПЭКШВнг(А)-7х1,5</t>
  </si>
  <si>
    <t>Кабель КУПЭКШВнг(А)-14х1,5</t>
  </si>
  <si>
    <t>Кабель КУПЭКШВнг(А)-2х2x1</t>
  </si>
  <si>
    <t>Технологическая площадка №1</t>
  </si>
  <si>
    <t>СИН.04.20-49-Р-1.2.03-АС-002</t>
  </si>
  <si>
    <t>94 / 9,4</t>
  </si>
  <si>
    <t xml:space="preserve">Арматура АIII Ø5мм по ГОСТ 5781-82* </t>
  </si>
  <si>
    <t>Устройство в бетонных конструкциях полов борозд площадью сечения: до 50 см2</t>
  </si>
  <si>
    <t>Установка наличника на дюбеля</t>
  </si>
  <si>
    <t>Лист стальной оцинкованный 0,8 по ГОСТ 14918-80</t>
  </si>
  <si>
    <t>Лист стальной оцинкованный 0,6 по ГОСТ 14918-80</t>
  </si>
  <si>
    <t xml:space="preserve">Замоноличивание бетоном борозд в полах </t>
  </si>
  <si>
    <t>м / м2 / м3</t>
  </si>
  <si>
    <t>18,4 / 6,4 / 0,8</t>
  </si>
  <si>
    <t>Опора ОП2…13, 20, 21, 21.1, 22, 25-56, 62-65, 71, 79-89, 85-93, 95, 97-103, 107-125, 131-137</t>
  </si>
  <si>
    <t>101 / 1</t>
  </si>
  <si>
    <t>Труба 89х4 по ГОСТ 10704-91</t>
  </si>
  <si>
    <t>Установка закладных деталей при бетонировании, массой до 5кг</t>
  </si>
  <si>
    <t>101 / 0,465</t>
  </si>
  <si>
    <t>Закладная деталь МН122-2 по серии 1.400-15.В1.13008</t>
  </si>
  <si>
    <t>Опора ОП14…19, 66-70, 72-78, 104-106, 126-130</t>
  </si>
  <si>
    <t>26 / 0,091</t>
  </si>
  <si>
    <t>Опора ОП23, 24, 58-61</t>
  </si>
  <si>
    <t>6 / 0,021</t>
  </si>
  <si>
    <t>6 / 0,225</t>
  </si>
  <si>
    <t>Труба 159х4 по ГОСТ 10704-91</t>
  </si>
  <si>
    <t>Опора ОП1, 57, 84, 94, 96</t>
  </si>
  <si>
    <t>5 / 0,042</t>
  </si>
  <si>
    <t>Переходной мостик ПМ-1</t>
  </si>
  <si>
    <t>СИН.04.20-49-Р-1.2.03-АС-004</t>
  </si>
  <si>
    <t>Монтаж площадок с настилом и ограждением из листовой, рифленой, просечной и круглой стали</t>
  </si>
  <si>
    <t>Переходной мостик ПМ-1 (согласно ОЛ)</t>
  </si>
  <si>
    <t>Переходной мостик ПМ-2</t>
  </si>
  <si>
    <t>СИН.04.20-49-Р-1.2.03-АС-005</t>
  </si>
  <si>
    <t>Переходной мостик ПМ-2 (согласно ОЛ)</t>
  </si>
  <si>
    <t>Переходной мостик ПМ-3</t>
  </si>
  <si>
    <t>СИН.04.20-49-Р-1.2.03-АС-006</t>
  </si>
  <si>
    <t>Переходной мостик ПМ-3 (согласно ОЛ)</t>
  </si>
  <si>
    <t>2 / 0,033</t>
  </si>
  <si>
    <t>Лестницы ЛП-1</t>
  </si>
  <si>
    <t>СИН.04.20-49-Р-1.2.03-АС-007</t>
  </si>
  <si>
    <t>Площадки обслуживания аппаратов</t>
  </si>
  <si>
    <t>СИН.04.20-49-Р-1.2.03-АС-009</t>
  </si>
  <si>
    <t>СИН.04.20-49-Р-1.2.03-ТХ-002</t>
  </si>
  <si>
    <t>Монтаж запорной арматуры фланцевой с ручным приводом или без привода на условное давление 1,6 МПа, диаметр условного прохода: 50 мм (НГСВ-2)</t>
  </si>
  <si>
    <t>Блок предохранительных клапанов с устройствами
переключающими БПУ в комплекте с ответными фланцами по ГОСТ 33259-2015, прокладками и крепежом (БПК-2.2), входит в
комплект поставки НГСВ-2 (согласно ОЛ)</t>
  </si>
  <si>
    <t>Монтаж запорной арматуры фланцевой с ручным приводом или без привода на условное давление 1,6 МПа, диаметр условного прохода: 50 мм</t>
  </si>
  <si>
    <t>Задвижка клиновая с ручным приводом ЗКЛ2-50-16, DN 50, PN
1,6 МПа в комплекте с ответными фланцами по ГОСТ 33259-2015
Ст 20, прокладками и крепежом</t>
  </si>
  <si>
    <t>Клапан обратный, фланцевый, DN 50, PN 1,6 МПа в комплекте с
ответными фланцами по ГОСТ 33259-2015 Ст 20, прокладками
и крепежом</t>
  </si>
  <si>
    <t>Монтаж запорной арматуры фланцевой с ручным приводом или без привода на условное давление 1,6 МПа, диаметр условного прохода: 80 мм</t>
  </si>
  <si>
    <t>Задвижка клиновая с ручным приводом ЗКЛ2-80-16, DN 80, PN
1,6 МПа в комплекте с ответными фланцами по ГОСТ 33259-2015
Ст 20, прокладками и крепежом</t>
  </si>
  <si>
    <t>Монтаж запорной арматуры фланцевой с ручным приводом или без привода на условное давление 1,6 МПа, диаметр условного прохода: 100 мм</t>
  </si>
  <si>
    <t>Задвижка клиновая с ручным приводом ЗКЛ2-100-16, DN 100, PN
1,6 МПа в комплекте с ответными фланцами по ГОСТ 33259-2015
Ст 20, прокладками и крепежом</t>
  </si>
  <si>
    <t>Монтаж запорной арматуры фланцевой с ручным приводом или без привода на условное давление 1,6 МПа, диаметр условного прохода: 150 мм</t>
  </si>
  <si>
    <t>Задвижка клиновая с ручным приводом ЗКЛ2-150-16, DN 150, PN
1,6 МПа в комплекте с ответными фланцами по ГОСТ 33259-2015
Ст 20, прокладками и крепежом</t>
  </si>
  <si>
    <t>Монтаж запорной арматуры фланцевой с ручным приводом или без привода на условное давление 1,6 МПа, диаметр условного прохода: 200 мм</t>
  </si>
  <si>
    <t>Задвижка клиновая с ручным приводом ЗКЛ2-200-16, DN 200, PN
1,6 МПа в комплекте с ответными фланцами по ГОСТ 33259-2015
Ст 20, прокладками и крепежом</t>
  </si>
  <si>
    <t>Монтаж запорной арматуры фланцевой с ручным приводом или без привода на условное давление 1,6 МПа, диаметр условного прохода: 25 мм</t>
  </si>
  <si>
    <t>Кран шаровый с ручным приводом, DN 25, PN 1,6 МПа в
комплекте с ответными фланцами по ГОСТ 33259-2015 Ст 20, прокладками и крепежом</t>
  </si>
  <si>
    <t>Монтаж запорной арматуры фланцевой с ручным приводом или без привода на условное давление 10 МПа, диаметр условного прохода: 25 мм</t>
  </si>
  <si>
    <t>Кран шаровый с ручным приводом, DN 25, PN 10 МПа в
комплекте с ответными фланцами по ГОСТ 33259-2015 Ст 20, прокладками и крепежом</t>
  </si>
  <si>
    <t>Клапан обратный, фланцевый, DN 25, PN 10 МПа в комплекте с
ответными фланцами по ГОСТ 33259-2015 Ст 20, прокладками
и крепежом</t>
  </si>
  <si>
    <t>Трубопровод из стальных труб с фланцами и сварными стыками на номинальное давление 1,6 МПа на открытых площадках, диаметр трубопровода наружный: 32 мм</t>
  </si>
  <si>
    <t>Труба стальная бесшовная горячедеформированная немерной длины, обычной точности изготовления, из стали 20, по группе В 32х4по ГОСТ 8732-78</t>
  </si>
  <si>
    <t>Отвод крутоизогнутый бесшовный приварной исп.2 из стали 20А П45-32х4 по ГОСТ 17375-2001</t>
  </si>
  <si>
    <t>Отвод крутоизогнутый бесшовный приварной исп.2 из стали 20А П60-32х4 по ГОСТ 17375-2001</t>
  </si>
  <si>
    <t>Отвод крутоизогнутый бесшовный приварной исп.2 из стали 20А П90-32х4 по ГОСТ 17375-2001</t>
  </si>
  <si>
    <t>Тройник бесшовный приварной переходной, материал сталь 20 32х4  по ГОСТ 17376-2001</t>
  </si>
  <si>
    <t>Трубопровод из стальных труб с фланцами и сварными стыками на номинальное давление 1,6 МПа на открытых площадках, диаметр трубопровода наружный: 57 мм</t>
  </si>
  <si>
    <t>Труба стальная бесшовная горячедеформированная немерной длины, обычной точности изготовления, из стали 20, по группе В 57х4по ГОСТ 8732-78</t>
  </si>
  <si>
    <t>Отвод крутоизогнутый бесшовный приварной исп.2 из стали 20А П90-57х4 по ГОСТ 17375-2001</t>
  </si>
  <si>
    <t>Переход концентрический приварной из стали марки 20А ПК  219х10-57х4  по ГОСТ 17376-2001</t>
  </si>
  <si>
    <t>Быстроразъемное соединение БРС (под приварку) с ответной заглушкой DN50 PN1,6 Мпа</t>
  </si>
  <si>
    <t>Трубопровод из стальных труб с фланцами и сварными стыками на номинальное давление 1,6 МПа на открытых площадках, диаметр трубопровода наружный: 89 мм</t>
  </si>
  <si>
    <t>Труба стальная бесшовная горячедеформированная немерной длины, обычной точности изготовления, из стали 20, по группе В 89х6по ГОСТ 8732-78</t>
  </si>
  <si>
    <t>Отвод крутоизогнутый бесшовный приварной исп.2 из стали 20А П90-89х6 по ГОСТ 17375-2001</t>
  </si>
  <si>
    <t>Тройник бесшовный приварной переходной, материал сталь 20 89х6 по ГОСТ 17376-2001</t>
  </si>
  <si>
    <t>Переход концентрический приварной из стали марки 20А ПК 159х8-89х6  по ГОСТ 17376-2001</t>
  </si>
  <si>
    <t>Трубопровод из стальных труб с фланцами и сварными стыками на номинальное давление 1,6 МПа на открытых площадках, диаметр трубопровода наружный: 114 мм</t>
  </si>
  <si>
    <t>Труба стальная бесшовная горячедеформированная немерной длины, обычной точности изготовления, из стали 20, по группе В 114х6по ГОСТ 8732-78</t>
  </si>
  <si>
    <t>Отвод крутоизогнутый бесшовный приварной исп.2 из стали 20А П90-114х6 по ГОСТ 17375-2001</t>
  </si>
  <si>
    <t>Тройник бесшовный приварной переходной, материал сталь 20 114х6  по ГОСТ 17376-2001</t>
  </si>
  <si>
    <t>Переход концентрический приварной из стали марки 20А ПК 159х8-114х6  по ГОСТ 17376-2001</t>
  </si>
  <si>
    <t>Переход концентрический приварной из стали марки 20А ПК 273х10-114х6  по ГОСТ 17376-2001</t>
  </si>
  <si>
    <t>Переход концентрический приварной из стали марки 20А ПК 325х12-114х6  по ГОСТ 17376-2001</t>
  </si>
  <si>
    <t>Трубопровод из стальных труб с фланцами и сварными стыками на номинальное давление 1,6 МПа на открытых площадках, диаметр трубопровода наружный: 159 мм</t>
  </si>
  <si>
    <t>Труба стальная бесшовная горячедеформированная немерной длины, обычной точности изготовления, из стали 20, по группе В 159х6по ГОСТ 8732-78</t>
  </si>
  <si>
    <t>Отвод крутоизогнутый бесшовный приварной исп.2 из стали 20А П90-159х6 по ГОСТ 17375-2001</t>
  </si>
  <si>
    <t>Тройник бесшовный приварной переходной, материал сталь 20 159х6  по ГОСТ 17376-2001</t>
  </si>
  <si>
    <t>Переход концентрический приварной из стали марки 20А ПК 325х10-159х6  по ГОСТ 17376-2001</t>
  </si>
  <si>
    <t>Трубопровод из стальных труб с фланцами и сварными стыками на номинальное давление 1,6 МПа на открытых площадках, диаметр трубопровода наружный: 219 мм</t>
  </si>
  <si>
    <t>Труба стальная бесшовная горячедеформированная немерной длины, обычной точности изготовления, из стали 20, по группе В 219х6по ГОСТ 8732-78</t>
  </si>
  <si>
    <t>Отвод крутоизогнутый бесшовный приварной исп.2 из стали 20А П90-219х6 по ГОСТ 17375-2001</t>
  </si>
  <si>
    <t>Переход концентрический приварной из стали марки 20А ПК  426х12-219х8  по ГОСТ 17376-2001</t>
  </si>
  <si>
    <t xml:space="preserve">Трубопровод из стальных труб на номинальное давление не более 2,5 МПа в каналах и траншеях, диаметр труб наружный: 114 мм </t>
  </si>
  <si>
    <t>Трубы стальные бесшовные горячедеформированные с заводской наружной двуслойной изоляцией на основе экструдированного полиэтилена, из стали 20, по группе В 114х6по ГОСТ 8731-74</t>
  </si>
  <si>
    <t>144 / 0,699</t>
  </si>
  <si>
    <t>Опора 114-КХ-А11-Ст3сп6</t>
  </si>
  <si>
    <t>Опора 159-КХ-А11-Ст3сп6</t>
  </si>
  <si>
    <t>Термочехол для задвижки Ду25 Ру16</t>
  </si>
  <si>
    <t>Термочехол для задвижки Ду50 Ру16</t>
  </si>
  <si>
    <t>Термочехол для задвижки Ду80 Ру16</t>
  </si>
  <si>
    <t>Термочехол для задвижки Ду100 Ру16</t>
  </si>
  <si>
    <t>Термочехол для задвижки Ду150 Ру16</t>
  </si>
  <si>
    <t>Термочехол для задвижки Ду200 Ру16</t>
  </si>
  <si>
    <t>Очистка металлическими щетками поверхности трубопроводов номинальным диаметром: до 50 мм</t>
  </si>
  <si>
    <t>стык</t>
  </si>
  <si>
    <t>Очистка металлическими щетками поверхности трубопроводов номинальным диаметром: свыше 50 до 100 мм</t>
  </si>
  <si>
    <t>Очистка металлическими щетками поверхности трубопроводов номинальным диаметром: свыше 100 до 150 мм</t>
  </si>
  <si>
    <t>Очистка металлическими щетками поверхности трубопроводов номинальным диаметром: свыше 150 до 250 мм</t>
  </si>
  <si>
    <t>Протирка органическими растворителями поверхности трубопроводов номинальным диаметром: до 50 мм</t>
  </si>
  <si>
    <t>Протирка органическими растворителями поверхности трубопроводов номинальным диаметром: свыше 50 до 100 мм</t>
  </si>
  <si>
    <t>Протирка органическими растворителями поверхности трубопроводов номинальным диаметром: свыше 100 до 150 мм</t>
  </si>
  <si>
    <t>Протирка органическими растворителями поверхности трубопроводов номинальным диаметром: свыше 150 до 250 мм</t>
  </si>
  <si>
    <t>Рентгенографический контроль трубопровода через две стенки, номинальный диаметр трубопровода: до 50, толщина стенки до 5 мм</t>
  </si>
  <si>
    <t>снимок</t>
  </si>
  <si>
    <t>Рентгенографический контроль трубопровода через две стенки, номинальный диаметр трубопровода: свыше 50 до 100, толщина стенки до 5 мм</t>
  </si>
  <si>
    <t>Рентгенографический контроль трубопровода через две стенки, номинальный диаметр трубопровода: свыше 50 до 100, толщина стенки свыше 5 мм до 10 мм</t>
  </si>
  <si>
    <t>Рентгенографический контроль трубопровода через две стенки, номинальный диаметр трубопровода: свыше 100 до 150, толщина стенки до 10 мм</t>
  </si>
  <si>
    <t>Рентгенографический контроль трубопровода через две стенки, номинальный диаметр трубопровода: свыше 150 до 250, толщина стенки до 10 мм</t>
  </si>
  <si>
    <t>СИН.04.20-49-Р-1.2.03-ЭС-002</t>
  </si>
  <si>
    <t>СИН.04.20-49-Р-1.2.03-АК-002</t>
  </si>
  <si>
    <t>Прибор для анализа физико-химического состава вещества, категория сложности: II</t>
  </si>
  <si>
    <t>комлп</t>
  </si>
  <si>
    <t>Датчик-газоанализатор стационарный ДГС AXIOM Выходнной сигнал 4-20 мА; Тип взрывозащиты - Exd; Определяемый газ - Метан СН4 (согласно SIN.04.20-49-R-1.2-AK-ОЛ1_QT)</t>
  </si>
  <si>
    <t>Щиты и пульты, масса: до 50 кг</t>
  </si>
  <si>
    <t>Взрывозащищенный пост свето-звуковой сигнализации ВЭЛАН-КВПС                                                     Тип взрывозащиты - Exd.                                                                                                                        Тестовая кнопка (напряжение питания:Uном. 24В)                                                                     Первый порог сигнализации: желтая лампа                                                                                 Второй порог сигнализации: красная лампа                                                                                          Рама сварная с козырьком L=700х200- 1шт                                                                                              Табличка (140х50) с надписью: ДВК Метан 20/50%                                                                                   Напряжение - 24В  (согласно SIN.04.20-49-R-1.2-AK-ОЛ3_HLA)</t>
  </si>
  <si>
    <t>Кабель до 35 кВ в проложенных трубах, блоках и коробах,  с креплением на поворотах и концах трассы,масса 1 м кабеля: до 1 кг</t>
  </si>
  <si>
    <t>Кабель КУПЭКШВнг(А)-LS-10х1,5</t>
  </si>
  <si>
    <t>Кабель КУПЭКШВнг(А)-LS-19х1,5</t>
  </si>
  <si>
    <t>Кабель до 35 кВ в проложенных трубах, блоках и коробах,  с креплением на поворотах и концах трассы,масса 1 м кабеля: до 2 кг</t>
  </si>
  <si>
    <t>Кабель КУПЭКШВнг(А)-LS-27x1,5</t>
  </si>
  <si>
    <t>Металлорукав МРПИ нг 25 ТУ 4833-024-01877509-02</t>
  </si>
  <si>
    <t>Коробка кабельная соединительная или разветвительная</t>
  </si>
  <si>
    <t>Коробка зажимов КЗВА-ВЭЛ2-24/22-(Л-2БТ-М25-ММРн-20)х5(А)-(Л-2БТ-М32-ММРн-25)х1(С) PB ExdI/ExdllBT6-B1.5</t>
  </si>
  <si>
    <t>Коробка зажимов КЗВА-ВЭЛ4-24/60-(Л-2БТ-М25-ММРн-20)х7(А)-(Л-2БТ-М25-ММРн-20)х6(D)-(Л-2БТ-М40-ММРн-32)х1(С)-(Л-2БТ-М32-ММРн-25)х1(С) PB ExdI/ExdllBT6-B1.5</t>
  </si>
  <si>
    <t>Коробка зажимов КЗВА-ВЭЛ4-24/60-(Л-2БТ-М25-ММРн-20)х5(А)-(Л-2БТ-М25-ММРн-20)х5(D)-(Л-2БТ-М40-ММРн-32)х2(С)-(Л-2БТ-М32-ММРн-25)х1(С) PB ExdI/ExdllBT6-B1.5</t>
  </si>
  <si>
    <t>Конструкции для установки приборов, масса: до 2 кг</t>
  </si>
  <si>
    <t>Рейка перфорированная, длина 300 мм, SK300 ширина 41 мм, толщ. 2.5 мм, горячеоцинкованная сталь</t>
  </si>
  <si>
    <t>Монтажная панель СПП1-2-200*400</t>
  </si>
  <si>
    <t>Конструкции для установки исполнительных механизмов, устанавливаемые: на полу, масса до 20 кг</t>
  </si>
  <si>
    <t>Стойка напольная СТР-3С-1000, У1</t>
  </si>
  <si>
    <t>Стойка напольная СТР-3С-2500, У1</t>
  </si>
  <si>
    <t>Сепаратор ГС-1</t>
  </si>
  <si>
    <t>СИН.04.20-49-Р-1.2.01-АС-Ч-006</t>
  </si>
  <si>
    <t>Разработка грунта в отвал механизированным способом, группа грунтов 2</t>
  </si>
  <si>
    <t>Устройство бетонной подготовки</t>
  </si>
  <si>
    <t>Арматура АIII 8мм по ГОСТ 23279-2012</t>
  </si>
  <si>
    <t>Установка анкерных болтов при бетонировании</t>
  </si>
  <si>
    <t>3 / 0,005</t>
  </si>
  <si>
    <t>Болт 2.1 М16х600 по ГОСТ 24379.1-2012</t>
  </si>
  <si>
    <t>Устройство подливки толщиной 50 мм</t>
  </si>
  <si>
    <t>1,62 / 0,08</t>
  </si>
  <si>
    <t>СИН.04.20-49-Р-1.2.01-АС-Ч-007</t>
  </si>
  <si>
    <t>Опора Оп5..Оп9, Оп11..Оп25</t>
  </si>
  <si>
    <t>20 / 0,092</t>
  </si>
  <si>
    <t>Закладная деталь МН122-2 по серии 1.400-15.В1.130-31</t>
  </si>
  <si>
    <t>20 / 0,258</t>
  </si>
  <si>
    <t>Труба 89х5мм по ГОСТ 10704-91</t>
  </si>
  <si>
    <t>Очистка металлических поверхностей щетками</t>
  </si>
  <si>
    <t>Окраска металлических поверхностей винило-эпоксидной эмалью за 2 раза</t>
  </si>
  <si>
    <t>Опора Оп10</t>
  </si>
  <si>
    <t>1 / 0,011</t>
  </si>
  <si>
    <t>СИН.04.20-49-Р-1.2.01-АС-Ч-008</t>
  </si>
  <si>
    <t>Изготовление и установка стальных конструкций площадки</t>
  </si>
  <si>
    <t>4 / 0,001</t>
  </si>
  <si>
    <t>Болт БСР М12х100</t>
  </si>
  <si>
    <t>Опоры ОП 1</t>
  </si>
  <si>
    <t>4 / 0,395</t>
  </si>
  <si>
    <t>Труба 159х5мм по ГОСТ 10704-91</t>
  </si>
  <si>
    <t>Ограждение площадки</t>
  </si>
  <si>
    <t>Изготовление и установка стальных конструкций лестницы</t>
  </si>
  <si>
    <t>Опоры ОП 2</t>
  </si>
  <si>
    <t>Устройство основания из щебня, h=300мм с уплотнением</t>
  </si>
  <si>
    <t>СИН.04.20-49-Р-1.2.01-АС-Ч-005</t>
  </si>
  <si>
    <t>Площадка</t>
  </si>
  <si>
    <t>СИН.04.20-49-Р-1.2.04-ТХ-Ч-002</t>
  </si>
  <si>
    <t>Монтаж оборудования на открытой площадке, масса оборудования: 0,85 т (газовый сепаратор ГС-1)</t>
  </si>
  <si>
    <t>Газовый сепаратор ГС1-2,5-600-1</t>
  </si>
  <si>
    <t>Блок предохранительных клапанов с устройствами переключающими БПУ в комплекте с ответными фланцами по ГОСТ 33259-2015, прокладками и крепежом (согласно ОЛ)</t>
  </si>
  <si>
    <t>Задвижка клиновая с ручным приводом ЗКЛ2-50-16, DN 50, PN 1,6 МПа в комплекте с ответными фланцами по ГОСТ 33259-2015  Ст 20, прокладками  и крепежом</t>
  </si>
  <si>
    <t>Кран шаровый с ручным приводом, DN 50, PN 1,6 МПа в комплекте с ответными фланцами по ГОСТ 33259-2015  Ст 20, прокладками  и крепежом</t>
  </si>
  <si>
    <t>Монтаж запорной арматуры фланцевой с электрическим приводом на условное давление 1,6 МПа, диаметр условного прохода: 50 мм</t>
  </si>
  <si>
    <t>Клапан электромагнитный фланцевый, DN 50, PN 1,6 МПа в комплекте с ответными фланцами по ГОСТ 33259-2015  Ст 20, прокладками  и крепежом</t>
  </si>
  <si>
    <t>Задвижка клиновая с ручным приводом ЗКЛ2-100-16, DN 100, PN 1,6 МПа в комплекте с ответными фланцами по ГОСТ 33259-2015  Ст 20, прокладками  и крепежом</t>
  </si>
  <si>
    <t>Труба стальная бесшовная горячедеформированная немерной длины, обычной точности изготовления, из стали 20, по группе В 57х4 по ГОСТ 8732-78</t>
  </si>
  <si>
    <t>Отвод крутоизогнутый бесшовный приварной исп.2 из стали 20А П45-57х4 по ГОСТ 17375-2001</t>
  </si>
  <si>
    <t>Тройник бесшовный приварной исп.2 из стали 20А П 57х4</t>
  </si>
  <si>
    <t>Переход концентрический приварной из стали марки 20А ПК 114х6-57х4</t>
  </si>
  <si>
    <t>Труба стальная бесшовная горячедеформированная немерной длины, обычной точности изготовления, из стали 20, по группе В 89х6 по ГОСТ 8732-78</t>
  </si>
  <si>
    <t>Труба стальная бесшовная горячедеформированная немерной длины, обычной точности изготовления, из стали 20, по группе В 114х6 по ГОСТ 8732-78</t>
  </si>
  <si>
    <t>Тройник бесшовный приварной исп.2 из стали 20А П 114х6</t>
  </si>
  <si>
    <t>Переход концентрический приварной из стали марки 20А ПК 159х8-114х6</t>
  </si>
  <si>
    <t>Трубопровод из стальных труб с фланцами и сварными стыками на номинальное давление не более 2,5 МПа из готовых узлов в каналах и траншеях, диаметр труб наружный: 57 мм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</si>
  <si>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57х4мм  по ГОСТ 8732-78</t>
  </si>
  <si>
    <t>4 / 0,006</t>
  </si>
  <si>
    <t>СИН.04.20-49-Р-1.2.04-АК-002</t>
  </si>
  <si>
    <t>Прибор, устанавливаемый на резьбовых соединениях, масса: до 1,5 кг</t>
  </si>
  <si>
    <t>Датчик избыточного давления с выходным сигналом 4-20мА+HART,
Диапазон измерения 0-1,0 МПа, вид взрывозащиты-Exd, основная
приведенная погрешность ±0.5%
Эксплуатация от минус 40°C до +40°C, защита от воздействия пыли
и воды - IP66,
Резьба присоединительного штуцера - М20х1,5 (согласно SIN.04.20-49-R-1.2-AK-ОЛ2_PT)</t>
  </si>
  <si>
    <t>Манометр показывающий коррозионностойкий МП4А-Кс-УХЛ1-1МПа-1.5-IP65-M20x1.5-8g-УПД                                                                                                                                                        Диапазон показаний прибора от 0 до 1,0 МПа, диаметр корпуса - 160 мм                                                Класс точности - 1,5, степень защиты - IP65,                                                                                      температура окружающей среды минус 40…+40 °С,
штуцер присоединительный - М20х1,5, радиальный</t>
  </si>
  <si>
    <t>Бобышки, штуцеры для установки датчиков КИП на трубопроводе давлением до 10МПа</t>
  </si>
  <si>
    <t>Вентильный блок В-05Д в составе Бобышка 1-1-М20х1,5-100, Прокладка 15, Пробка 1-М20х1,5</t>
  </si>
  <si>
    <t>Первичный преобразователь уровнемер, устанавливаемый на резервуаре, работающем: при атмосферном давлении, масса до 10 кг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</si>
  <si>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SIN.04.20-49-R-1.2.04-AK-ОЛ1)</t>
  </si>
  <si>
    <t>Сужающие устройства расходомеров, диафрагма: камерная, диаметр условного прохода до 125 мм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</si>
  <si>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SIN.04.20-49-P-АК-ОЛ5.1_УУГ1)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</si>
  <si>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SIN.04.20-49-P-АК-ОЛ5.2_УУГ2)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</si>
  <si>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SIN.04.20-49-P-АК-ОЛ5.4_УУГ4)</t>
  </si>
  <si>
    <t>Узел учета газа СВГ.Т, в составе:                                                                                                          датчик давления, Метран 150                                                                                                                 датчик температуры, Метран 286                                                                                                                  датчик расхода газа, ДРГ.М                                                                                                                        теплоэнергоконтроллер, ИМ2300 (согласно SIN.04.20-49-P-АК-ОЛ5.5_УУГ5)</t>
  </si>
  <si>
    <t>Коробка зажимов КЗВА-ВЭЛ4-24/60-(Л-2БТ-М25-ММРн-20)х7(А)-(Л-2БТ-М25-ММРн-20)х3(D)-(Л-2БТ-М32-ММРн-25)х2(С)-(Л-2БТ-М40-ММРн-32)х1(С) PB ExdI/ExdllBT6-B1.5</t>
  </si>
  <si>
    <t>Коробка зажимов КЗВА-ВЭЛ4-24/60-(Л-2БТ-М25-ММРн-20)х6(А)-(Л-2БТ-М25-ММРн-20)х3(D)-(Л-2БТ-М32-ММРн-25)х3(С) PB ExdI/ExdllBT6-B1.5</t>
  </si>
  <si>
    <t>Площадка путевого подогревателя ПНПТ-1,6</t>
  </si>
  <si>
    <t>СИН.04.20-49-Р-1.2.05-АС-Ч-002</t>
  </si>
  <si>
    <t>Приготовление растворов вручную: цементных</t>
  </si>
  <si>
    <t>35,6 / 1,1 / 0,1</t>
  </si>
  <si>
    <t>Опора ОП1…ОП9</t>
  </si>
  <si>
    <t xml:space="preserve">Изготовление и монтаж стоек опорных из прокатной стали </t>
  </si>
  <si>
    <t>9 / 0,171</t>
  </si>
  <si>
    <t>36 / 0,001</t>
  </si>
  <si>
    <t>СИН.04.20-49-Р-1.2.05-АС-Ч-004</t>
  </si>
  <si>
    <t>Фундамент Фм2</t>
  </si>
  <si>
    <t>Изготовление и установка закладных деталей при бетонировании</t>
  </si>
  <si>
    <t>3/ 0,376</t>
  </si>
  <si>
    <t>СИН.04.20-49-Р-1.2.05-ТХ-Ч-002</t>
  </si>
  <si>
    <t>Демонтаж оборудования на открытой площадке, масса оборудования: 21,5 т (путевой подгреватель ПНПТ 1,6)</t>
  </si>
  <si>
    <t>Монтаж оборудования на открытой площадке, масса оборудования: 21,5 т (путевой подгреватель ПНПТ 1,6 раннее демонтированный)</t>
  </si>
  <si>
    <t>Задвижка клиновая электроприводная DN 50,  PN 1,6 МПа в комплекте с ответными фланцами по ГОСТ 33259-2015  Ст 20, прокладками  и крепежом (согласно ОЛ)</t>
  </si>
  <si>
    <t>9 / 0,033</t>
  </si>
  <si>
    <t>СИН.04.20-49-Р-1.2.05-ЭС-002</t>
  </si>
  <si>
    <t>СИН.04.20-49-Р-1.2.05-АК-002</t>
  </si>
  <si>
    <t>Кабель КУПЭКШВнг(А)-LS-2х2х1,0</t>
  </si>
  <si>
    <t>Труба стальная водогазопроводная 25х2,8 ГОСТ 3262-75 Ст.20</t>
  </si>
  <si>
    <t>Адаптер труба-рукав АТР 25</t>
  </si>
  <si>
    <t>Коробка зажимов КЗВА-ВЭЛ2-24/22-КЗВА-ВЭЛ2-24/22-(Л-2БТ-М20-ММРн-20)х5(А)-
(Л-2БТ-М25-ММРн-25)х1(В) PB ExdI/ExdllBT6-B1.5</t>
  </si>
  <si>
    <t>Площадка факельного конденсатосборника Еф-1</t>
  </si>
  <si>
    <t>СИН.04.20-49-Р-1.2.06-АС-Ч-002</t>
  </si>
  <si>
    <t>СИН.04.20-49-Р-1.2.06-АС-Ч-003</t>
  </si>
  <si>
    <t>Стойка Оп1, Оп2</t>
  </si>
  <si>
    <t>2 / 0,051</t>
  </si>
  <si>
    <t>1 / 0,034</t>
  </si>
  <si>
    <t>Площадка ТГР</t>
  </si>
  <si>
    <t>СИН.04.20-49-Р-1.2.06-АС-Ч-004</t>
  </si>
  <si>
    <t>Опора Оп1, Оп2</t>
  </si>
  <si>
    <t>2 / 0,008</t>
  </si>
  <si>
    <t>2 / 0,044</t>
  </si>
  <si>
    <t>Труба 89х4мм по ГОСТ 10704-91</t>
  </si>
  <si>
    <t>Лист 6 по ГОСТ 19903-2015</t>
  </si>
  <si>
    <t>СИН.04.20-49-Р-1.2.06-ЭМ-Ч-002</t>
  </si>
  <si>
    <t>СИН.04.20-49-Р-1.2.06-АК-002</t>
  </si>
  <si>
    <t>Еф-1</t>
  </si>
  <si>
    <t>Уровнемер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Exd..(согласно SIN.04.20-49-R-1.2.06-AK-ОЛ1)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</si>
  <si>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SIN.04.20-49-R-1.2.06-AK-ОЛ2)</t>
  </si>
  <si>
    <t>Коробка зажимов КЗВА-ВЭЛ2-24/22-Л-2БТ-М25-ММРн-20)х4(А)-(Л-2БТ-М25-ММРн-20)
х3(С)-(Л-2БТ-М32-ММРн-25)х1(С) PB ExdI/ExdllBT6-B1.5</t>
  </si>
  <si>
    <t>ТГР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</si>
  <si>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SIN.04.20-49-R-1.2.06-AK-ОЛ3)</t>
  </si>
  <si>
    <t>Коробка зажимов КЗВА-ВЭЛ4-24/60-(Л-2БТ-М25-ММРн-20)х7(А)-(Л-2БТ-М25-ММРн-20)х4(D)-(Л-2БТ-М32-ММРн-25)х3(С)
PB ExdI/ExdllBT6-B1.5</t>
  </si>
  <si>
    <t>СИН.04.20-49-Р-1.2.06-ТХ-Ч-004</t>
  </si>
  <si>
    <t>Площадка горизонтальной насосной установки ГНУ</t>
  </si>
  <si>
    <t>СИН.04.20-49-Р-1.2.07-АС-Ч-004</t>
  </si>
  <si>
    <t>Опора Оп1..Оп3, Оп5..Оп10</t>
  </si>
  <si>
    <t>9 / 0,072</t>
  </si>
  <si>
    <t>9 / 0,041</t>
  </si>
  <si>
    <t>Опора Оп4</t>
  </si>
  <si>
    <t>1 / 0,005</t>
  </si>
  <si>
    <t>СИН.04.20-49-Р-1.2.07-ТХ-Ч-002</t>
  </si>
  <si>
    <t>Демонтаж оборудования на открытой площадке, масса оборудования: 21,5 т (горизонтальная насосная установка)</t>
  </si>
  <si>
    <t>Монтаж оборудования на открытой площадке, масса оборудования: 21,5 т  (горизонтальная насосная установка ранее демонтированная)</t>
  </si>
  <si>
    <t>Монтаж запорной арматуры фланцевой с ручным приводом или без привода на условное давление 10 МПа, диаметр условного прохода: 65 мм</t>
  </si>
  <si>
    <t>Задвижка шиберная с ручным управлением, фланцевая. В комплекте с ответными фланцами, прокладками и крепежными деталями ЗПМ 65х21-ПУ2 К2</t>
  </si>
  <si>
    <t>Изготовление и монтаж трубопровода на открытых площадках, монтируемый из труб и готовых деталей, на условное давление 10 МПа, диаметр труб наружный: 114 мм</t>
  </si>
  <si>
    <t>Труба стальная бесшовная горячедеформированная немерной длины, обычной точности изготовления, из стали 20, по группе В 114х9 по ГОСТ 8732-78</t>
  </si>
  <si>
    <t>Отвод крутоизогнутый бесшовный приварной исп.2 из стали 20А П90-114х9 по ГОСТ 17375-2001</t>
  </si>
  <si>
    <t>Тройник бесшовный приварной исп.2 из стали 20А П 114х9</t>
  </si>
  <si>
    <t>8 / 0,014</t>
  </si>
  <si>
    <t>Опора 89-ХБ-А-Ст3сп6</t>
  </si>
  <si>
    <t>Рентгенографический контроль трубопровода через две стенки, номинальный диаметр трубопровода: свыше 100 до 150, толщина стенки свыше 5 мм до 10 мм</t>
  </si>
  <si>
    <t>СИН.04.20-49-Р-1.2.07-ЭС-002</t>
  </si>
  <si>
    <t>СИН.04.20-49-Р-1.2.07-АК-002</t>
  </si>
  <si>
    <t>Кабель до 35 кВ в проложенных трубах, блоках и коробах,  с креплением на поворотах и концах трассы, масса 1 м кабеля: до 2 кг</t>
  </si>
  <si>
    <t>Кабель КУПЭКШВнг(А)-LS-27х2,5</t>
  </si>
  <si>
    <t>Труба стальная водогазопроводная 32х3,2 ГОСТ 3262-75 Ст.20</t>
  </si>
  <si>
    <t>Адаптер труба-рукав АТР 32</t>
  </si>
  <si>
    <t>Площадка канализационной емкости ЕП-1</t>
  </si>
  <si>
    <t>СИН.04.20-49-Р-1.2.08-АС-Ч-002</t>
  </si>
  <si>
    <t>Устройство основания из песка, h=700мм с проливкой водой</t>
  </si>
  <si>
    <t xml:space="preserve">Песок речной средней крупности </t>
  </si>
  <si>
    <t>Монтаж плиты дорожной под основание площадью: 12м2</t>
  </si>
  <si>
    <t>шт / тн / м3</t>
  </si>
  <si>
    <t>5 / 21 / 8,4</t>
  </si>
  <si>
    <t>Плита ПДН-АV 6000х2000х140 по серии 3.503.1-91, вып.3-1</t>
  </si>
  <si>
    <t>Изготовление и монтаж металлоконструкций для крепления емкости в грунте</t>
  </si>
  <si>
    <t>Уголок 100х8мм по ГОСТ 8509-93</t>
  </si>
  <si>
    <t>Уголок 50х5мм по ГОСТ 8509-93</t>
  </si>
  <si>
    <t>Болт М20х50-8.8 по ГОСТ 4014-2013</t>
  </si>
  <si>
    <t>Гайка М20-8 по ГОСТ 4032-2014</t>
  </si>
  <si>
    <t>Шайба М20 по ГОСТ 28961-91</t>
  </si>
  <si>
    <t>Сверление установками алмазного бурения в железобетонных конструкциях вертикальных отверстий глубиной 100 мм диаметром: 12 мм</t>
  </si>
  <si>
    <t xml:space="preserve">Установка анкерных болтов: в готовые гнезда </t>
  </si>
  <si>
    <t>56 / 0,012</t>
  </si>
  <si>
    <t>Болт БСР 12х110 У3 по ГОСТ 28778-90</t>
  </si>
  <si>
    <t>Гидроизоляция боковая обмазочная битумная в 2 слоя по выровненной поверхности бутовой кладки, кирпичу, бетону</t>
  </si>
  <si>
    <t>Мастика гидроизоляционная Технониколь №24, расход 1кг/м2</t>
  </si>
  <si>
    <t xml:space="preserve">Засыпка котлована механизированным способом с послойным не более 200мм уплотнением вибротрамбовками </t>
  </si>
  <si>
    <t>Планировка площадей: ручным способом, группа грунтов 1</t>
  </si>
  <si>
    <t>Стойка С2</t>
  </si>
  <si>
    <t>1 / 0,028</t>
  </si>
  <si>
    <t>СИН.04.20-49-Р-1.2.08-ЭС-002</t>
  </si>
  <si>
    <t>СИН.04.20-49-Р-1.2.08-АК-002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</si>
  <si>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SIN.04.20-49-R-1.2.08-AK-ОЛ5)</t>
  </si>
  <si>
    <t>Площадка дренажной емкости ДЕ-2</t>
  </si>
  <si>
    <t>СИН.04.20-49-Р-1.2.08-АС-Ч-003</t>
  </si>
  <si>
    <t>Планировка площадей: ручным способом, группа грунтов 2</t>
  </si>
  <si>
    <t>СИН.04.20-49-Р-1.2.08-АС-Ч-004</t>
  </si>
  <si>
    <t>Опора Оп1..Оп4</t>
  </si>
  <si>
    <t>4 / 0,016</t>
  </si>
  <si>
    <t>4 / 0,108</t>
  </si>
  <si>
    <t>1 / 0,046</t>
  </si>
  <si>
    <t>СИН.04.20-49-Р-1.2.08-ТХ-Ч-002</t>
  </si>
  <si>
    <t>Клапан обратный, фланцевый, DN 80, PN 1,6 МПа в комплекте с
ответными фланцами по ГОСТ 33259-2015 Ст 20, прокладками
и крепежом</t>
  </si>
  <si>
    <t>Быстроразъемное соединение БРС (под приварку) с ответной заглушкой DN80 PN1,6 Мпа</t>
  </si>
  <si>
    <t>Переход концентрический приварной из стали марки 20А ПК 114х6-89х6 по ГОСТ 17376-2001</t>
  </si>
  <si>
    <t>Переход концентрический приварной из стали марки 20А ПК 114х6-57х4 по ГОСТ 17376-2001</t>
  </si>
  <si>
    <t>7 / 0,013</t>
  </si>
  <si>
    <t>Уровнемер                     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 (согласно SIN.04.20-49-R-1.2.08-AK-ОЛ1)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</si>
  <si>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SIN.04.20-49-R-1.2.08-AK-ОЛ3)</t>
  </si>
  <si>
    <t>Кабель КУПЭКШВнг(А)-LS-10х2х1,5</t>
  </si>
  <si>
    <t>Коробка зажимов КЗВА-ВЭЛ2-24/22-(Л-2БТ-М25-ММРн-20)х4(А)-(Л-2БТ-М25-ММРн-20)х3(D)-(Л-2БТ-М40-ММРн-32)х1(С) 1ExdIIBT4</t>
  </si>
  <si>
    <t>Площадка дренажной емкости ДЕ-3</t>
  </si>
  <si>
    <t>СИН.04.20-49-Р-1.2.08-АС-Ч-006</t>
  </si>
  <si>
    <t>СИН.04.20-49-Р-1.2.08-АС-Ч-007</t>
  </si>
  <si>
    <t>Опора Оп1..Оп2</t>
  </si>
  <si>
    <t>2 / 0,07</t>
  </si>
  <si>
    <t>2 / 0,055</t>
  </si>
  <si>
    <t>1 / 0,048</t>
  </si>
  <si>
    <t>СИН.04.20-49-Р-1.2.08-ТХ-Ч-003</t>
  </si>
  <si>
    <t>Установка насосов погружных с электродвигателем производительностью: до 100 м3/час</t>
  </si>
  <si>
    <t>Насос погружной НВ 50/50 (согласно ОЛ)</t>
  </si>
  <si>
    <t>Переход концентрический приварной из стали марки 20А ПК 89х6-76х5 по ГОСТ 17376-2001</t>
  </si>
  <si>
    <t>Трубопровод из стальных труб с фланцами и сварными стыками на номинальное давление не более 2,5 МПа из готовых узлов в каналах и траншеях, диаметр труб наружный: 114 мм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</si>
  <si>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114х6мм  по ГОСТ 8732-78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</si>
  <si>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114х8мм  по ГОСТ 8732-78</t>
  </si>
  <si>
    <t>Переход концентрический приварной из стали марки 20А ПК 219х12-114х8 по ГОСТ 17376-2001</t>
  </si>
  <si>
    <t>Переход концентрический приварной из стали марки 20А ПК 159х8-114х6 по ГОСТ 17376-2001</t>
  </si>
  <si>
    <t>5 / 0,009</t>
  </si>
  <si>
    <t>Уровнемер                     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 (согласно SIN.04.20-49-R-1.2.08-AK-ОЛ2)</t>
  </si>
  <si>
    <t>Сигнализатор уровня                                                                                                                                Назначение: сигнализация макс./мин. уровня
Выходнной сигнал: релейный;
Вид взрывозащиты - Exd.(согласно SIN.04.20-49-R-1.2.08-AK-ОЛ4)</t>
  </si>
  <si>
    <t>Коробка зажимов КЗВА-ВЭЛ2-24/22-(Л-2БТ-М25-ММРн-20)х4(А)-
(Л-2БТ-М25-ММРн-20)х3(D)-(Л-2БТ-М40-ММРн-32)х1(С) 1ExdIIBT4</t>
  </si>
  <si>
    <t>Площадка насосной нефти (Н-1, Н-2)</t>
  </si>
  <si>
    <t>СИН.04.20-49-Р-1.2.09-АС-002</t>
  </si>
  <si>
    <t>Устройство фундаментных плит железобетонных: с ребрами вверх</t>
  </si>
  <si>
    <t>Устройство подстилающих слоев: бетонных</t>
  </si>
  <si>
    <t>Устройство подстилающих слоев: щебеночных</t>
  </si>
  <si>
    <t>12,6 / 0,4 / 0,08</t>
  </si>
  <si>
    <t>СИН.04.20-49-Р-1.2.09-АС-006</t>
  </si>
  <si>
    <t>Фундамент Фм1</t>
  </si>
  <si>
    <t>Устройство железобетонных фундаментов общего назначения под колонны объемом: до 3 м3</t>
  </si>
  <si>
    <t>16 / 0,055</t>
  </si>
  <si>
    <t>Болт 1.1 М24х800 по ГОСТ 24279.1-2012</t>
  </si>
  <si>
    <t>Устройство подливки толщиной 20 мм</t>
  </si>
  <si>
    <t>СИН.04.20-49-Р-1.2.09-АС-007</t>
  </si>
  <si>
    <t>8 / 0,055</t>
  </si>
  <si>
    <t>СИН.04.20-49-Р-1.2.09-АС-008</t>
  </si>
  <si>
    <t>Фундамент Фм3</t>
  </si>
  <si>
    <t>СИН.04.20-49-Р-1.2.09-АС-009</t>
  </si>
  <si>
    <t>Опора Оп3,6…9, 12…14</t>
  </si>
  <si>
    <t>8 / 0,037</t>
  </si>
  <si>
    <t>Опора Оп1,2,4,5,10,11</t>
  </si>
  <si>
    <t>Опора Оп15, Оп16</t>
  </si>
  <si>
    <t>2 / 0,038</t>
  </si>
  <si>
    <t>2 / 0,009</t>
  </si>
  <si>
    <t>СИН.04.20-49-Р-1.2.09-ТХ-002</t>
  </si>
  <si>
    <t>Установка насосов центробежных с электродвигателем, масса агрегата: до 0,2 т</t>
  </si>
  <si>
    <t>Насос перекачки нефти ЦНС 60-66 Q=60 м3/ч; H=66 м.ст.ж</t>
  </si>
  <si>
    <t>Установка фильтров жидкостных диаметром: 50 мм</t>
  </si>
  <si>
    <t>Фильтр жидкости ФЖУ-50/1.6, Ру=1,6 Ру=1,6 Мпа</t>
  </si>
  <si>
    <t>Клапан обратный, фланцевый, DN 100, PN 1,6 МПа в комплекте с ответными фланцами по ГОСТ 33259-2015  Ст 20, прокладками  и крепежом</t>
  </si>
  <si>
    <t>Монтаж запорной арматуры фланцевой с ручным приводом на условное давление 1,6 МПа, диаметр условного прохода: 25 мм</t>
  </si>
  <si>
    <t>Кран шаровый с ручным приводом, DN 25, PN 1,6 МПа в комплекте с ответными фланцами по ГОСТ 33259-2015  Ст 20, прокладками  и крепежом</t>
  </si>
  <si>
    <t>Тройник бесшовный приварной переходной, материал сталь 20 57х4 по ГОСТ 17376-2001</t>
  </si>
  <si>
    <t>Переход концентрический приварной из стали марки 20А ПК  57х6-32х4  по ГОСТ 17376-2001</t>
  </si>
  <si>
    <t>Отвод крутоизогнутый бесшовный приварной исп.2 из стали 20А П45-114х6 по ГОСТ 17375-2001</t>
  </si>
  <si>
    <t>Переход концентрический приварной из стали марки 20А ПК 114х6-89х6  по ГОСТ 17376-2001</t>
  </si>
  <si>
    <t>Заглушка П 114х8по ГОСТ 17379-2001</t>
  </si>
  <si>
    <t>Заглушка П 159х8по ГОСТ 17379-2001</t>
  </si>
  <si>
    <t xml:space="preserve">Трубопровод из стальных труб на номинальное давление не более 2,5 МПа в каналах и траншеях, диаметр труб наружный: 57 мм </t>
  </si>
  <si>
    <t>Трубы стальные бесшовные горячедеформированные с заводской наружной двуслойной изоляцией на основе экструдированного полиэтилена, из стали 20, по группе В 57х4по ГОСТ 8731-74</t>
  </si>
  <si>
    <t>14 / 0,054</t>
  </si>
  <si>
    <t>Бобышки, штуцеры на условное давление: 10 Мпа</t>
  </si>
  <si>
    <t>СИН.04.20-49-Р-1.2.09-ЭС-002</t>
  </si>
  <si>
    <t>СИН.04.20-49-Р-1.2.09-АК-002</t>
  </si>
  <si>
    <t>Манометр показывающий коррозионностойкий МП4А-Кс-УХЛ1-0,6МПа-1.5-IP65-M20x1.5-8g-УПД                                                                                                                                                        Диапазон показаний прибора от 0 до 0,6 МПа, диаметр корпуса - 160 мм                                                Класс точности - 1,5, степень защиты - IP65,                                                                                      температура окружающей среды минус 40…+40 °С,
штуцер присоединительный - М20х1,5, радиальный</t>
  </si>
  <si>
    <t>Отдельно устанавливаемый: преобразователь или блок питания</t>
  </si>
  <si>
    <t>Измерительный преобразователь модульный ИПМ 0499/М2-Н. Тип взрывозащиты - Exd.</t>
  </si>
  <si>
    <t>Коробка зажимов КЗВА-ВЭЛ2-24/22-(Л-2БТ-М25-ММРн-20)х7(А)-
(Л-2БТ-М25-ММРн-20)х5(C)-(Л-2БТ-М40-ММРн-32)х1(С) 1ExdIIBT4</t>
  </si>
  <si>
    <t>Площадка БДР-1</t>
  </si>
  <si>
    <t>СИН.04.20-49-Р-1.2.10-АС-002</t>
  </si>
  <si>
    <t>СИН.04.20-49-Р-1.2.10-АС-Ч-002</t>
  </si>
  <si>
    <t>Опора С1</t>
  </si>
  <si>
    <t>1 / 0,007</t>
  </si>
  <si>
    <t>1 / 0,093</t>
  </si>
  <si>
    <t>Стойка С2, С3</t>
  </si>
  <si>
    <t>СИН.04.20-49-Р-1.2.10-АС-Ч-003</t>
  </si>
  <si>
    <t>СИН.04.20-49-Р-1.2.10-ТХ-002</t>
  </si>
  <si>
    <t>Кран шаровый с ручным приводом, DN 25, PN 10 МПа в комплекте с ответными фланцами по ГОСТ 33259-2015  Ст 20, прокладками  и крепежом</t>
  </si>
  <si>
    <t>Тройник бесшовный приварной переходной, материал сталь 20 32х4 по ГОСТ 17376-2001</t>
  </si>
  <si>
    <t>5 / 0,007</t>
  </si>
  <si>
    <t>СИН.04.20-49-Р-1.2.10-ЭС-002</t>
  </si>
  <si>
    <t>СИН.04.20-49-Р-1.2.10-АК-002</t>
  </si>
  <si>
    <t>Кабель КУПЭКШВнг(А)-LS-2х2х1</t>
  </si>
  <si>
    <t>Площадка надземной емкости для пресной воды Е-1</t>
  </si>
  <si>
    <t>СИН.04.20-49-Р-1.2.11-АК-002</t>
  </si>
  <si>
    <t>Манометр показывающий коррозионностойкий МП4А-Кс-УХЛ1-1,0МПа-1.5-IP65-M20x1.5-8g-УПД                                                                                                                                                        Диапазон показаний прибора от 0 до 1,0 МПа, диаметр корпуса - 160 мм                                                Класс точности - 1,5, степень защиты - IP65,                                                                                      температура окружающей среды минус 40…+40 °С,
штуцер присоединительный - М20х1,5, радиальный</t>
  </si>
  <si>
    <t>Уровнемер                                                                                                                                                     Назначение: измерение общего уровня
Выходнной сигнал: 4-20мА+HART;
Вид взрывозащиты - Exd. (соглсано SIN.04.20-49-R-1.2.11-AK-ОЛ2)</t>
  </si>
  <si>
    <t>Коробка зажимов КЗВА-ВЭЛ2-24/22-(Л-2БТ-М25-ММРн-20)х4(А)-(Л-2БТ-М25-ММРн-20)х2(С)-(Л-2БТ-М32-ММРн-25)х1(С) PB ExdI/ExdllBT6-B1.5</t>
  </si>
  <si>
    <t>Площадка слива нефти</t>
  </si>
  <si>
    <t>СИН.04.20-49-Р-1.2.12-АС-002</t>
  </si>
  <si>
    <t>СИН.04.20-49-Р-1.2.12-АС-Ч-002</t>
  </si>
  <si>
    <t>Бурение ям механизированным способом в грунтах группы 2 диаметром 300мм на глубину до 3м</t>
  </si>
  <si>
    <t xml:space="preserve">1 яма </t>
  </si>
  <si>
    <t>2 / 0,079</t>
  </si>
  <si>
    <t>СИН.04.20-49-Р-1.2.12-ТХ-002</t>
  </si>
  <si>
    <t>Монтаж запорной арматуры фланцевой с ручным приводом на условное давление 1,6 МПа, диаметр условного прохода: 100 мм</t>
  </si>
  <si>
    <t>Труба стальная бесшовная горячедеформированная немерной длины, обычной точности изготовления, из стали 20, по группе В 114х8по ГОСТ 8732-78</t>
  </si>
  <si>
    <t>Трубы стальные бесшовные горячедеформированные с заводской наружной двуслойной изоляцией на основе экструдированного полиэтилена, из стали 20, по группе В 114х8по ГОСТ 8731-74</t>
  </si>
  <si>
    <t>2 / 0,004</t>
  </si>
  <si>
    <t>СИН.04.20-49-Р-1.2.12-ЭС-002</t>
  </si>
  <si>
    <t>Площадка КТП</t>
  </si>
  <si>
    <t>СИН.04.20-49-Р-1.2.14-АС-002</t>
  </si>
  <si>
    <t>Устройство подстилающего и выравнивающего слоя из щебня с уплотнением (отмостка)</t>
  </si>
  <si>
    <t>СИН.04.20-49-Р-1.2.14-ЭС-002</t>
  </si>
  <si>
    <t>Конденсаторная установка, со ступенью регулирования 5 кВАр УКРМ-75 кВАр  (согласно ОЛ)</t>
  </si>
  <si>
    <t>Труба стальная по установленным конструкциям, в готовых бороздах, по основанию пола, диаметр: до 100 мм</t>
  </si>
  <si>
    <t>Труба стальная водогазопроводная 100х4,5 ГОСТ 3262-75 Ст.20</t>
  </si>
  <si>
    <t>Термоусадочные трубки ТУТнг-LS-150/75</t>
  </si>
  <si>
    <t>Кабель до 35 кВ в проложенных трубах, блоках и коробах, с креплением на поворотах и концах трассы, масса 1 м кабеля: до 4 кг</t>
  </si>
  <si>
    <t>Кабель силовой, гибкий, с медными жилами, изоляцией и
оболочкой из ПВХ пониженной пожарной опасности, сеч. 5х70
мм.кв. ВВГнг(А)-LS 5х70</t>
  </si>
  <si>
    <t>Наружные сети канализации</t>
  </si>
  <si>
    <t>СИН.04.20-49-Р-1.2.15-НВК-Ч-003</t>
  </si>
  <si>
    <t>Накопительный колодец КН-1</t>
  </si>
  <si>
    <t>Устройство основания из песка</t>
  </si>
  <si>
    <t>Установка круглых сборных колодцев из полимерных материалов: высотой 4,5 м, диаметром 1000 мм</t>
  </si>
  <si>
    <t>Дно колодца из полимерно-композитной смеси D 1000мм, Н 36мм по ТУ 5772-001-09351267-2016</t>
  </si>
  <si>
    <t>Кольцо колодца из полимерно-композитной смеси D 1000мм, Н 200мм по ТУ 5772-001-09351267-2016</t>
  </si>
  <si>
    <t>Конус колодца из полимерно-композитной смеси D 1000мм, Н 125мм по ТУ 5772-001-09351267-2016</t>
  </si>
  <si>
    <t>Гермоввод ГВР Ф 90/110 Комплектация 2/1 (Два фланца с отверстиями, болты).</t>
  </si>
  <si>
    <t>Металлический сантехнический хомут для труб со шпилькой и дюбелем СВК 105-115, 4 дюйма, гайка М8 SVK-F100М8i Н0000002784</t>
  </si>
  <si>
    <t>Резьбовая шпилька ЦКИ DIN975 М8х1000 нерж. A2</t>
  </si>
  <si>
    <t>Гайка ГОСКРЕП DIN 934 М8 нержавеющая</t>
  </si>
  <si>
    <t>Кузовная шайба ЕВРОПАРТНЕР DIN 9021, M8</t>
  </si>
  <si>
    <t xml:space="preserve">Установка полимерных люков круглых </t>
  </si>
  <si>
    <t>Люк черный полимерпесчаный тип С (средний) 9т ЛЮК ЛП-С(В60)-58 по ТУ 5772-001-91263159-2012</t>
  </si>
  <si>
    <t>Колодец поворотный К1-1</t>
  </si>
  <si>
    <t>Установка круглых сборных колодцев из полимерных материалов: высотой 1,5 м, диаметром 1000 мм</t>
  </si>
  <si>
    <t>Трубопровод К-1</t>
  </si>
  <si>
    <t>Укладка канализационных безнапорных раструбных труб из поливинилхлорида (ПВХ) диаметром: 110 мм</t>
  </si>
  <si>
    <t>Труба НПВХ для наружной канализации 110х3,2х560 SN4 по ГОСТ Р 54475-2011</t>
  </si>
  <si>
    <t>Труба НПВХ для наружной канализации 110х3,2х2000 SN4 по ГОСТ Р 54475-2011</t>
  </si>
  <si>
    <t>Труба НПВХ для наружной канализации 110х3,2х3000 SN4 по ГОСТ Р 54475-2011</t>
  </si>
  <si>
    <t>Отвод НПВХ 110х45 для наружной канализации</t>
  </si>
  <si>
    <t>Отвод НПВХ 110х90 для наружной канализации</t>
  </si>
  <si>
    <t>Химически стойкая герметизирующая мастика Химфлекс EPU-510 по ТУ 20.59.59-014-74321702-2020</t>
  </si>
  <si>
    <t xml:space="preserve">Засыпка траншеи механизированным способом с перемещением грунта до 5м с послойным не более 200мм уплотнением вибротрамбовками </t>
  </si>
  <si>
    <t>Изоляция трубопроводов: матами минераловатными, плитами минераловатными на синтетическом связующем</t>
  </si>
  <si>
    <t>ROCKWOOL ТЕХ МАТ маты на синтетическом связующем, изготовленные из каменной ваты на основе базальтовых пород, толщина 50 мм</t>
  </si>
  <si>
    <t>Покрытие поверхности изоляции трубопроводов: сталью оцинкованной</t>
  </si>
  <si>
    <t>Кожух для труб из тонколистовой оцинкованной стали, ГОСТ 14918-80. Отвод 45 градусов из оцинкованной стали d=310, 0,5мм</t>
  </si>
  <si>
    <t>Кожух для труб из тонколистовой оцинкованной стали, ГОСТ 14918-80. Оболочка из оцинкованной стали 1250х310х0,5мм</t>
  </si>
  <si>
    <t xml:space="preserve">Молниеотвод МОГК-15 </t>
  </si>
  <si>
    <t>СИН.04.20-49-Р-1.2.16-АС-Ч-002</t>
  </si>
  <si>
    <t>Шнековое бурение скважины механизированным способом глубиной до 4м в грунтах группы 2 диаметром шнека 500мм</t>
  </si>
  <si>
    <t>3,15 / 1</t>
  </si>
  <si>
    <t>Изготовление арматурного каркаса с последующим опуском в скважину</t>
  </si>
  <si>
    <t>Арматура АI 8мм по ГОСТ 23279-2012</t>
  </si>
  <si>
    <t>Бетонирование скважины с арматурным каркасом</t>
  </si>
  <si>
    <t>1 / 0,108</t>
  </si>
  <si>
    <t>Закладная деталь ФМ-0.219-3,5 (в составе молниеотводов)</t>
  </si>
  <si>
    <t>Установка стальных: отдельно стоящих молниеотводов со шпилем, высотой до 15м</t>
  </si>
  <si>
    <t>1 / 0,183</t>
  </si>
  <si>
    <t>Прожекторная мачта ПММК-25 (5шт)</t>
  </si>
  <si>
    <t>СИН.04.20-49-Р-1.2.16-АС-Ч-004</t>
  </si>
  <si>
    <t>Устройство железобетонных фундаментов общего назначения объемом: до 5 м3 (многоярусный фундамент, поэтапное бетонирование. Всего 4 яруса)</t>
  </si>
  <si>
    <t>Арматура АIII 16мм по ГОСТ 23279-2012</t>
  </si>
  <si>
    <t>Арматура АIII 10мм по ГОСТ 23279-2012</t>
  </si>
  <si>
    <t>5 / 0,9</t>
  </si>
  <si>
    <t>Закладная деталь ЗД-1 (в комплекте мачты)</t>
  </si>
  <si>
    <t>Прожекторная мачта ПММК-25 с молниеотводом (2шт)</t>
  </si>
  <si>
    <t>2 / 0,36</t>
  </si>
  <si>
    <t>СИН.04.20-49-Р-1.2.16-ЭС-004</t>
  </si>
  <si>
    <t>Шкаф управления и регулирования (установка шкафа управления освещением)</t>
  </si>
  <si>
    <t>Шкаф управления освещением ЯУО (согласно ОЛ)</t>
  </si>
  <si>
    <t xml:space="preserve">Установка стальных: прожекторных мачт </t>
  </si>
  <si>
    <t>5 / 6,0</t>
  </si>
  <si>
    <t>Мачта прожекторная с мобильной короной МГФ-М 25 (согласно ОЛ)</t>
  </si>
  <si>
    <t>2 / 2,4</t>
  </si>
  <si>
    <t>Мачта прожекторная с мобильной короной МГФ-М 25 с молниеотводом (согласно ОЛ)</t>
  </si>
  <si>
    <t>Технологическая площадка №3</t>
  </si>
  <si>
    <t>СИН.04.20-49-Р-1.2.17-АС-002</t>
  </si>
  <si>
    <t>Уплотнение грунта: щебнем</t>
  </si>
  <si>
    <t>СИН.04.20-49-Р-1.2.17-АС-004</t>
  </si>
  <si>
    <t>Опора ОП1…21, 24….30, 37, 38, 41, 41.1….41.6, 42, 42.1</t>
  </si>
  <si>
    <t>44 / 0,408</t>
  </si>
  <si>
    <t>44 / 0,202</t>
  </si>
  <si>
    <t>Опора ОП31….36, 39, 40</t>
  </si>
  <si>
    <t>8 / 0,028</t>
  </si>
  <si>
    <t>Опора ОП1.1, 2.1, 22, 23, 42.2, 42.3</t>
  </si>
  <si>
    <t>СИН.04.20-49-Р-1.2.17-АС-005</t>
  </si>
  <si>
    <t>СИН.04.20-49-Р-1.2.17-АС-006</t>
  </si>
  <si>
    <t>СИН.04.20-49-Р-1.2.17-АС-007</t>
  </si>
  <si>
    <t>Сборка с помощью крана на автомобильном ходу: лестницы прямолинейные и криволинейные с ограждением</t>
  </si>
  <si>
    <t xml:space="preserve">Уголок 50х50х5 по ГОСТ 8509-93 </t>
  </si>
  <si>
    <t xml:space="preserve">Уголок 70х70х5 по ГОСТ 8509-93 </t>
  </si>
  <si>
    <t>Лист 4 по ГОСТ 103-2006</t>
  </si>
  <si>
    <t>Болт М12х35 ГОСТ Р ИСО 4014-2013</t>
  </si>
  <si>
    <t>Гайка М12 ГОСТ ИСО 4032-2014</t>
  </si>
  <si>
    <t>Шайба 12 ГОСТ 28961-91</t>
  </si>
  <si>
    <t>2 / 0,191</t>
  </si>
  <si>
    <t>Труба 114х5 по ГОСТ 10704-91</t>
  </si>
  <si>
    <t>Труба 219х5 по ГОСТ 10704-91</t>
  </si>
  <si>
    <t>Лист 20 по ГОСТ 19903-2015</t>
  </si>
  <si>
    <t>2 / 0,027</t>
  </si>
  <si>
    <t>Закладная деталь МН146-6 по серии 1.400-15.В1.13008</t>
  </si>
  <si>
    <t>СИН.04.20-49-Р-1.2.17-АС-008</t>
  </si>
  <si>
    <t>Фундамент Ф-2</t>
  </si>
  <si>
    <t>Устройство железобетонных фундаментов общего назначения объемом: до 5 м3 (многоярусный фундамент, поэтапное бетонирование. Всего 1 яруса)</t>
  </si>
  <si>
    <t>4 / 0,008</t>
  </si>
  <si>
    <t>Болт 1.1 М20х710 по ГОСТ 24279.1-2012</t>
  </si>
  <si>
    <t>СИН.04.20-49-Р-1.2.17-АС-009</t>
  </si>
  <si>
    <t>Сборка с помощью крана на автомобильном ходу: площадки для обслуживания оборудования и трубопроводов</t>
  </si>
  <si>
    <t>Швеллер 10П по ГОСТ 8240-97</t>
  </si>
  <si>
    <t>Труба профильная 80х80х4 по ГОСТ 30245-2003</t>
  </si>
  <si>
    <t>Лист 6 по ГОСТ 103-2006</t>
  </si>
  <si>
    <t xml:space="preserve">Уголок 25х25х3 по ГОСТ 8509-93 </t>
  </si>
  <si>
    <t>СИН.04.20-49-Р-1.2.17-ТХ-002</t>
  </si>
  <si>
    <t>Смеситель пресной воды фланцевый СПВ, DN150 PN 1,6МПа в комплекте с КОФ (согласно ОЛ)</t>
  </si>
  <si>
    <t>Переход концентрический приварной из стали марки 20А ПК 219х14-89х6  по ГОСТ 17376-2001</t>
  </si>
  <si>
    <t>Переход элептический приварной из стали марки 20А ПЭ 159х8-114х6  по ГОСТ 17376-2001</t>
  </si>
  <si>
    <t>Переход концентрический приварной из стали марки 20А ПК 426х12-159х8  по ГОСТ 17376-2001</t>
  </si>
  <si>
    <t>59 / 0,293</t>
  </si>
  <si>
    <t>СИН.04.20-49-Р-1.2.17-ЭС-002</t>
  </si>
  <si>
    <t>СИН.04.20-49-Р-1.2.17-АК-002</t>
  </si>
  <si>
    <t>Коробка зажимов КЗВА-ВЭЛ4-24/60-(Л-2БТ-М25-ММРн-20)х7(А)-(Л-2БТ-М25-ММРн-20)х3(D)-(Л-2БТ-М32-ММРн-25)х4(С) PB ExdI/ExdllBT6-B1.5</t>
  </si>
  <si>
    <t>Площадка блока управления топливным газом</t>
  </si>
  <si>
    <t>СИН.04.20-49-Р-1.2.18-АС-Ч-002</t>
  </si>
  <si>
    <t>Устройство площадки из сборных прямоугольных железобетонных плит площадью: 5,4 м2</t>
  </si>
  <si>
    <t>2 / 1,78 / 4,4</t>
  </si>
  <si>
    <t>Опора С1-С4</t>
  </si>
  <si>
    <t>4 / 0,076</t>
  </si>
  <si>
    <t>СИН.04.20-49-Р-1.2.18-ТХ-Ч-002</t>
  </si>
  <si>
    <t>Монтаж оборудования на открытой площадке, масса оборудования: 0,12 т (Блок запально- регулирующий БЗР)</t>
  </si>
  <si>
    <t>Блок БЗР, в составе СФУ</t>
  </si>
  <si>
    <t>Переход концентрический приварной из стали марки 20А ПК 57х6-32х4  по ГОСТ 17376-2001</t>
  </si>
  <si>
    <t>СИН.04.20-49-Р-1.2.18-ЭС-002</t>
  </si>
  <si>
    <t>Площадка пожарных резервуаров</t>
  </si>
  <si>
    <t>СИН.04.20-49-Р-1.2.19-АС-Ч-002</t>
  </si>
  <si>
    <t xml:space="preserve">Разработка грунта механизированным способом с перемещением до 50м группа 2 </t>
  </si>
  <si>
    <t xml:space="preserve">Погрузкой на автомобили-самосвалы механизированным способом группа грунтов 1 </t>
  </si>
  <si>
    <t>Перевозка грузов автомобилями-самосвалами грузоподъемностью 40т работающих из карьера на расстояние до 1 км</t>
  </si>
  <si>
    <t>Работа на отвале, группа грунтов 1</t>
  </si>
  <si>
    <t>Устройство основания из песка с проливкой водой</t>
  </si>
  <si>
    <t>Плита монолитная Пм1</t>
  </si>
  <si>
    <t>64 / 0,736</t>
  </si>
  <si>
    <t>Закладная деталь МН145-6 по серии 1.400-15.В1.13008</t>
  </si>
  <si>
    <t xml:space="preserve">Погрузкой на автомобили-самосвалы механизированным способом группа грунтов 2 </t>
  </si>
  <si>
    <t>Разработка грунта механизированным способом в отвал, группа 1</t>
  </si>
  <si>
    <t>Уплотнение грунта пневматическими трамбовками, группа грунтов: 1</t>
  </si>
  <si>
    <t>СИН.04.20-49-Р-1.2.19-ПТ-Ч-003</t>
  </si>
  <si>
    <t>Монтаж оборудования на открытой площадке, масса оборудования: 10 т (резервуар стальной горизонтальный РГС-125 м3)</t>
  </si>
  <si>
    <t>Резервуар стальной горизонтальный РГСП-125 (согласно ОЛ)</t>
  </si>
  <si>
    <t>Сети противопожарного водоснабжения</t>
  </si>
  <si>
    <t>Укладка стальных водопроводных труб с гидравлическим испытанием диаметром: 200 мм</t>
  </si>
  <si>
    <t>Труба стальная электросварная прямошовная 219x6 в изоляции в\у</t>
  </si>
  <si>
    <t>Тройник равнопроходной 219х8</t>
  </si>
  <si>
    <t>Отвод крутоизогнутый 90-219х8</t>
  </si>
  <si>
    <t>Переход элептический ПЭ-273х6-219х6</t>
  </si>
  <si>
    <t>Нанесение усиленной антикоррозионной битумно-резиновой или битумно-полимерной изоляции на стыки и фасонные части стальных трубопроводов диаметром: 200 мм</t>
  </si>
  <si>
    <t>Манжета "ТЕРМА-СТМП" 450х2х219</t>
  </si>
  <si>
    <t>Заделка сальников при проходе труб через стены колодца диаметром: до 200 мм</t>
  </si>
  <si>
    <t>Сальник набивной DN=200мм L=200мм</t>
  </si>
  <si>
    <t>Колонка управления задвижкой Ду200 с ручным приводом -VIII по Серия 3.901-13 Выпуск 5</t>
  </si>
  <si>
    <t>СИН.04.20-49-Р-1.2.19-ПТ-Ч-004</t>
  </si>
  <si>
    <t>Колодец ВК-1, ВК-2</t>
  </si>
  <si>
    <t>Устройство круглых колодцев из сборного железобетона в грунтах: сухих</t>
  </si>
  <si>
    <t>шт / м3</t>
  </si>
  <si>
    <t>2 / 9,46</t>
  </si>
  <si>
    <t>Плита днища ПН-20 по ГОСТ 8020-2016</t>
  </si>
  <si>
    <t>Кольцо стеновое КС 20.9 по ГОСТ 8020-2016</t>
  </si>
  <si>
    <t>Плита перекрытия 3ПП20 по ГОСТ 8020-2016</t>
  </si>
  <si>
    <t>Кольцо стеновое КС 7.3 по ГОСТ 8020-2016</t>
  </si>
  <si>
    <t>Кольцо опорное КО по ГОСТ 8020-2016</t>
  </si>
  <si>
    <t>Стремянка С-9</t>
  </si>
  <si>
    <t>Люк канализационный Л (А15) чугунный по ГОСТ 3634-99</t>
  </si>
  <si>
    <t>Колодец МК-1</t>
  </si>
  <si>
    <t>1 / 5,19</t>
  </si>
  <si>
    <t>Кольцо стеновое КС 20.9а по ГОСТ 8020-2016</t>
  </si>
  <si>
    <t>Плита перекрытия 2ПП20-1 по ГОСТ 8020-2016</t>
  </si>
  <si>
    <t>Генеральный план. Благоустройство территории</t>
  </si>
  <si>
    <t>СИН.04.20-49-Р-1.2.100-ГП-Ч-005</t>
  </si>
  <si>
    <t>Демонтаж покрытий из дорожных плит (существующее временное покрытие)</t>
  </si>
  <si>
    <t>95 / 159,6</t>
  </si>
  <si>
    <t>Погрузка и перевозка на расстояние до 200м дорожных плит со штебелированием</t>
  </si>
  <si>
    <t>Покрытие дороги плитами</t>
  </si>
  <si>
    <t>Устройство дорожных покрытий из сборных прямоугольных железобетонных плит площадью: 12 м2</t>
  </si>
  <si>
    <t>219 / 367,92 / 919,8</t>
  </si>
  <si>
    <t>Плита дорожная ПДНм-АIV 6000х2000х140 по ГОСТ Р 56600-2015</t>
  </si>
  <si>
    <t>Устройство оснований из песчано-цементных смесей: однослойных толщиной 6 см</t>
  </si>
  <si>
    <t>2628 / 158</t>
  </si>
  <si>
    <t>Смесь песчано-цементная М75</t>
  </si>
  <si>
    <t>Устройство покрытий толщиной 20 см при укатке щебня: однослойных</t>
  </si>
  <si>
    <t>Укрепление обочин щебнем методом заклинки, толщина слоя 20 см</t>
  </si>
  <si>
    <t>Покрытие дороги из монолитного бетона</t>
  </si>
  <si>
    <t>Устройство железобетонных монолитных участков: плоских</t>
  </si>
  <si>
    <t>Бетон В30 W6 F200</t>
  </si>
  <si>
    <t>Покрытие площадок сооружений</t>
  </si>
  <si>
    <t>Покрытие пешеходных дорожек</t>
  </si>
  <si>
    <t>Устройство покрытий толщиной 15 см при укатке щебня: однослойных</t>
  </si>
  <si>
    <t>Устройство водоотводных сооружений</t>
  </si>
  <si>
    <t xml:space="preserve">Устройство сборных водоотводных лотков </t>
  </si>
  <si>
    <t>5 / 5</t>
  </si>
  <si>
    <t>Водоотводной лоток  Betomax ЛВ-30.38.31-Б с щелевой решеткой, класс Е</t>
  </si>
  <si>
    <t>Бетон В15 W6 F200</t>
  </si>
  <si>
    <t>4,6 / 0,46</t>
  </si>
  <si>
    <t>Устройство водоотвода вокруг территории</t>
  </si>
  <si>
    <t>Устройство водоотводных канав без крепей в грунтах группы: 2</t>
  </si>
  <si>
    <t>СИН.04.20-49-Р-1.2.100-ГП-Ч-006</t>
  </si>
  <si>
    <t>Организация дорожного движения</t>
  </si>
  <si>
    <t>Установка дорожных знаков бесфундаментных: на металлических стойках</t>
  </si>
  <si>
    <t>6 / 0,057</t>
  </si>
  <si>
    <t>Стойка  металлическая СКМ 1.30 Ду70мм длиной 4000мм по серии 3.503.9-80 вып.1</t>
  </si>
  <si>
    <t>Знак предупреждающий 1.34.1</t>
  </si>
  <si>
    <t>Знак приоритета 2.4</t>
  </si>
  <si>
    <t>Знак приоритета 2.3.2</t>
  </si>
  <si>
    <t>Знак приоритета 2.3.3</t>
  </si>
  <si>
    <t>Знак запрещающий (4,5м) 3.13</t>
  </si>
  <si>
    <t>Знак запрещающий (5км/ч) 3.24</t>
  </si>
  <si>
    <t>Установка столбиков сигнальных: пластиковых</t>
  </si>
  <si>
    <t>Сигнальный столбик полимерного типа С1 со световозвращателями типа КД-1 по ГОСТ Р 50970-2011</t>
  </si>
  <si>
    <t xml:space="preserve">Перевозка грузов автомобилями-самосвалами грузоподъемностью 40т работающих из карьера на расстояние до 200 м </t>
  </si>
  <si>
    <t>Уплотнение грунта пневматическими трамбовками, группа грунтов: 1-2</t>
  </si>
  <si>
    <t>18,01 / 2,16</t>
  </si>
  <si>
    <t>Планировка откосов и полотна: насыпей механизированным способом, группа грунтов 1</t>
  </si>
  <si>
    <t>Укрепление откосов земляных сооружений посевом многолетних трав: механизированным способом</t>
  </si>
  <si>
    <t>Семена газонных трав</t>
  </si>
  <si>
    <t>Эстакада инженерных сетей</t>
  </si>
  <si>
    <t>СИН.04.20-49-Р-1.2.850-АС-Ч-003</t>
  </si>
  <si>
    <t>Изготовление и монтаж опорных стоек из прокатной стали</t>
  </si>
  <si>
    <t>Труба 273х6 ГОСТ 10704-91</t>
  </si>
  <si>
    <t>Двутавр 16Б2 ГОСТ 26020-83</t>
  </si>
  <si>
    <t>Швеллер 20П ГОСТ 8240-97</t>
  </si>
  <si>
    <t>Швеллер 14П ГОСТ 8240-97</t>
  </si>
  <si>
    <t>Лист 20 ГОСТ 19903-2015</t>
  </si>
  <si>
    <t xml:space="preserve">Изготовление и монтаж прогонов </t>
  </si>
  <si>
    <t>Швеллер 16П ГОСТ 8240-97</t>
  </si>
  <si>
    <t>Швеллер 22П ГОСТ 8240-97</t>
  </si>
  <si>
    <t>Швеллер 27П ГОСТ 8240-97</t>
  </si>
  <si>
    <t>Шнековое бурение скважины механизированным способом глубиной до 3м в грунтах группы 2 диаметром шнека 400мм</t>
  </si>
  <si>
    <t>30 / 10</t>
  </si>
  <si>
    <t>СИН.04.20-49-Р-1.2.850-АС-Ч-005</t>
  </si>
  <si>
    <t>Шнековое бурение скважины механизированным способом глубиной до 4м в грунтах группы 2 диаметром шнека 600мм</t>
  </si>
  <si>
    <t>32 / 8</t>
  </si>
  <si>
    <t>Круг стальной обычной точности 16мм по ГОСТ 2590-2006</t>
  </si>
  <si>
    <t>Болт 1.1 М24х800 ВСт3пс2 по ГОСТ 24279.1-2012</t>
  </si>
  <si>
    <t>СИН.04.20-49-Р-1.2.850-АС-Ч-006</t>
  </si>
  <si>
    <t>392 / 98</t>
  </si>
  <si>
    <t>Болт 1.1 М20х800 ВСт3пс2 по ГОСТ 24279.1-2012</t>
  </si>
  <si>
    <t>СИН.04.20-49-Р-1.2.850-АС-Ч-007</t>
  </si>
  <si>
    <t>СИН.04.20-49-Р-1.2.850-АС-Ч-008</t>
  </si>
  <si>
    <t>Пролетное строение ПС1</t>
  </si>
  <si>
    <t>Изготовление эстакады под трубопроводы, сборка с помощью: крана на автомобильном ходу</t>
  </si>
  <si>
    <t>2 / 1,399</t>
  </si>
  <si>
    <t>Двутавр 20Б1 ГОСТ 26020-83</t>
  </si>
  <si>
    <t>Монтаж унифицированных эстакад пролетом до 18 м: двухъярусных</t>
  </si>
  <si>
    <t>Периметральное ограждение</t>
  </si>
  <si>
    <t>СИН.04.20-49-Р-1.2.850-АС-Ч-009</t>
  </si>
  <si>
    <t>Шнековое бурение скважины механизированным способом глубиной 1,7 м в грунтах группы 2 диаметром шнека 300мм</t>
  </si>
  <si>
    <t>Шнековое бурение скважины механизированным способом глубиной 1,7 м в грунтах группы 2 диаметром шнека 1000мм</t>
  </si>
  <si>
    <t>Установка металлических столобов высотой до 4м с погружением в бетонное основание</t>
  </si>
  <si>
    <t>Стойка Afence (или аналог) под бетонирование длина 3700 мм,
промежуточная оцинкованная профильная труба 80х80х2 мм, в
комплекте: пластиковая заглушка сверху 1 шт, круглые пластиковые
заглушки под крепеж 6 шт, количество отверстий для крепления
панелей 6 шт, порошковая окраска по каталогу Pantone 376 C</t>
  </si>
  <si>
    <t>Стойка Afence (или аналог) под бетонирование длина 3700 мм,
калиточная оцинкованная профильная труба 80х80х2 мм, в комплекте:
пластиковая заглушка сверху 1 шт, круглые пластиковые заглушки под
крепеж 6 шт, количество отверстий для крепления панелей 6 шт,
порошковая окраска по каталогу Pantone 376 C</t>
  </si>
  <si>
    <t>Стойка Afence (или аналог) под бетонирование длина 3700 мм,
воротная горячеоцинкованная профильная труба 120х120х3 мм, в
комплекте: пластиковая заглушка сверху 1 шт, круглые пластиковые
заглушки под крепеж 6 шт, количество отверстий для крепления
панелей 6 шт, порошковая окраска по каталогу Pantone 376 C</t>
  </si>
  <si>
    <t xml:space="preserve">Монтаж секций заграждений из готовых решетчатых панелей </t>
  </si>
  <si>
    <t>Панель Afence Стандарт 3Д (или аналог) размером 3000Х1258(h)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 , сверху штырьки 30 мм</t>
  </si>
  <si>
    <t>Панель Afence Стандарт 3Д (или аналог) размером 3000Х506(h)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 , сверху штырьки 30 мм</t>
  </si>
  <si>
    <t>Панель Afence Стандарт 3Д (или аналог) размером 1650Х1258(h)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C, сверху штырьки 30 мм</t>
  </si>
  <si>
    <t>Панель Afence Стандарт 3Д (или аналог) размером 1650Х506(h)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 , сверху штырьки 30 мм</t>
  </si>
  <si>
    <t>Панель Afence Стандарт 3Д (или аналог) размером 2550Х1258(h)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C, сверху штырьки 30 мм</t>
  </si>
  <si>
    <t>Панель Afence Стандарт 3Д (или аналог) размером 2550Х506(h)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C, сверху штырьки 30 мм</t>
  </si>
  <si>
    <t>Панель Afence Стандарт 3Д (или аналог) размером 1000Х1258(h)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Pantone 376 C, сверху штырьки 30 мм</t>
  </si>
  <si>
    <t>Панель Afence Стандарт 3Д (или аналог) размером 1000Х506(h)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</si>
  <si>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1850Х506(h)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</si>
  <si>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2000Х1258(h)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</si>
  <si>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2000Х506(h)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</si>
  <si>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1950Х1258(h)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</si>
  <si>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1950Х506(h)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</si>
  <si>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1150Х1258(h)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</si>
  <si>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1150Х506(h)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</t>
  </si>
  <si>
    <t>Панель Afence Стандарт 3Д (или аналог) размером 1050Х506(h) мм,
сетка сварная, ячейка 50Х150 мм по осям прутков, оцинкованный
горизонтальный пруток Ø 5 мм, оцинкованный вертикальный пруток Ø
5 мм, порошковая окраска по каталогу  Pantone 376 C, сверху штырьки 30 мм
(над калиткой)</t>
  </si>
  <si>
    <t>Крепеж Afence (или аналог) Скоба прижимная универсальная, В
комплект крепежа входят: болт М8 с квадратным подголовником, гайка
М8 срывная антивандальная, все элементы комплекта имеют
цинковое покрытие, порошковая окраска по каталогу Pantone 376 C</t>
  </si>
  <si>
    <t>Крепеж Afence (или аналог) Скоба М-образная обжимная, В комплект
крепежа входят: скоба, все элементы комплекта имеют цинковое
покрытие, неокрашенная</t>
  </si>
  <si>
    <t>Установка ограждения и козырька из спиралей армированной колючей ленты (АКЛ) типа "Репейник": установка козырька высотой до 1 м по существующему ограждению</t>
  </si>
  <si>
    <t>Кронштейн Afence (или аналог) V - образный (комплект 2 шт) длина
500 мм, изготовлен из гнутого листа толщиной 2 мм, в комплекте болт
М8 - 2 шт, гайка М8 - 2 шт, изделие имеет цинковое покрытие,
порошковая окраска по каталогу Pantone 376 C</t>
  </si>
  <si>
    <t>Кронштейн Afence (или аналог) I - образный (комплект 1 шт) длина 500
мм, изготовлен из гнутого листа толщиной 2 мм, в комплекте болт М8 -
2 шт, гайка М8 - 2 шт, изделие имеет цинковое покрытие, порошковая
окраска по каталогу Pantone 376 C</t>
  </si>
  <si>
    <t>Спиральный барьер безопасности - СББ 500, изготовлен из
оцинкованной ленты стальной, оцинкованной проволоки, и
скрепляющих скоб из х/к металла, длина бухты, 10 пог. м.</t>
  </si>
  <si>
    <t>Плоский барьер безопасности - ПББ 500, изготовлен из оцинкованной
ленты стальной, оцинкованной проволоки, и скрепляющих скоб из х/к
металла, длина бухты, 10 пог. м.</t>
  </si>
  <si>
    <t>Устройство калиток из готовых металлических решетчатых панелей</t>
  </si>
  <si>
    <t>Калитка Afence (или аналог) для проема шириной 1000 мм, высота
проёма калитки 2000 мм, просвет снизу 100 мм, каркас: оцинкованная
профильная труба 60х40х1,5 мм, наполнение: сетка сварная 
Стандарт 3Д ячейка 50х150 мм по осям прутков оцинкованный
горизонтальный пруток Ø 5 мм, оцинкованный вертикальный пруток Ø
5 мм, комплектация для калитки:
● створка калитки - 1 шт,
● петли регулируемые - 2 к-та,
● без ушек под навесной замок - 0 к-т,
● замок Стильстрой - 1 к-т,
● без задвижки - 0 к-т,
● калиточный упор - 1 к-т,
● без ригеля 0 шт, порошковая окраска по каталогу Pantone 376 C , масса
калитки 26,98 кг, схема открывания: на улицу , расположение петель
Слева (при виде со двора)</t>
  </si>
  <si>
    <t>Устройство ворот (при установленных столбах): решетчатых высотой до 2 м</t>
  </si>
  <si>
    <t>шт / м2</t>
  </si>
  <si>
    <t>1 / 15</t>
  </si>
  <si>
    <t>Стандарт 3Д ячейка 50х150 мм по осям прутков оцинкованный
горизонтальный пруток Ø 5 мм, оцинкованный вертикальный пруток Ø
5 мм, комплектация для ворот:
● створка ворот - 2 шт,
● петли регулируемые - 4 к-та,
● задвижка вниз - 1 к-т,
● ушки под навесной замок - 1 к-т,
● без замка - 0 к-т,
Подготовка под автоматику – нет, порошковая окраска по каталогу
Pantone 376 C, масса ворот 258,62 кг, схема открывания: на улицу</t>
  </si>
  <si>
    <t>Технологические трубопроводы</t>
  </si>
  <si>
    <t>СИН.04.20-49-Р-1.2.850-ТХ-Ч-002</t>
  </si>
  <si>
    <t>Кран шаровый с ручным приводом, DN 80 PN 1,6 МПа в
комплекте с ответными фланцами по ГОСТ 33259-2015 Ст 20,
прокладками и крепежом</t>
  </si>
  <si>
    <t>Монтаж запорной арматуры фланцевой с электрическим приводом на условное давление 1,6 МПа, диаметр условного прохода: 100 мм</t>
  </si>
  <si>
    <t>Задвижка клиновая электроприводная ЗКЛП-100-16, DN 100, PN
1,6 МПа в комплекте с ответными фланцами по ГОСТ 33259-2015
Ст 20, прокладками и крепежом</t>
  </si>
  <si>
    <t>Монтаж запорной арматуры фланцевой с электрическим приводом на условное давление 1,6  МПа, диаметр условного прохода: 50 мм</t>
  </si>
  <si>
    <t>Клапан регулятор, фланцевый, DN 50, PN 1,6 МПа в комплекте с
ответными фланцами по ГОСТ 33259-2015 Ст 20, прокладками
и крепежом (согласно ОЛ)</t>
  </si>
  <si>
    <t>Тройник бесшовный приварной, материал сталь 20 57х4 по ГОСТ 17376-2001</t>
  </si>
  <si>
    <t>Тройник бесшовный приварной переходной, материал сталь 20 П 89х6-57х4 по ГОСТ 17376-2001</t>
  </si>
  <si>
    <t>Переход концентрический приварной из стали марки 20А ПК  114х6-57х4  по ГОСТ 17376-2001</t>
  </si>
  <si>
    <t>Отвод крутоизогнутый бесшовный приварной исп.2 из стали 20А П45-89х6 по ГОСТ 17375-2001</t>
  </si>
  <si>
    <t>Тройник бесшовный приварной, материал сталь 20 89х6 по ГОСТ 17378-2001</t>
  </si>
  <si>
    <t>Тройник бесшовный приварной переходной, материал сталь 20 П 114х6-89х6 по ГОСТ 17376-2001</t>
  </si>
  <si>
    <t>Переход элептический приварной из стали марки 20А ПЭ 114х6-89х6  по ГОСТ 17378-2001</t>
  </si>
  <si>
    <t>Переход концентрический приварной из стали марки 20А ПК 159х8-89х6  по ГОСТ 17378-2001</t>
  </si>
  <si>
    <t>Переход концентрический приварной из стали марки 20А ПК 219х10-89х6  по ГОСТ 17378-2001</t>
  </si>
  <si>
    <t>Заглушка приварная из стали марки 20А Заглушка П 89х8 ГОСТ 17379-2001</t>
  </si>
  <si>
    <t>Тройник бесшовный приварной, материал сталь 20 114х6  по ГОСТ 17376-2001</t>
  </si>
  <si>
    <t>Тройник бесшовный приварной переходной, материал сталь 20 П 159х8-114х6 по ГОСТ 17376-2001</t>
  </si>
  <si>
    <t>Переход элептический приварной из стали марки 20А ПЭ 159х8-114х6  по ГОСТ 17378-2001</t>
  </si>
  <si>
    <t>Переход концентрический приварной из стали марки 20А ПК 219х10-114х6  по ГОСТ 17376-2001</t>
  </si>
  <si>
    <t>Заглушка приварная из стали марки 20А Заглушка П 114х8 ГОСТ 17379-2001</t>
  </si>
  <si>
    <t>Тройник бесшовный приварной, материал сталь 20 159х6  по ГОСТ 17376-2001</t>
  </si>
  <si>
    <t>Заглушка приварная из стали марки 20А Заглушка П 219х8 ГОСТ 17379-2001</t>
  </si>
  <si>
    <t>630 / 2,633</t>
  </si>
  <si>
    <t>Тройник бесшовный приварной, материал сталь 20 32х4 по ГОСТ 17376-2001</t>
  </si>
  <si>
    <t>Сети электроснабжения</t>
  </si>
  <si>
    <t>СИН.04.20-49-Р-1.2.850-ЭС-Ч-002</t>
  </si>
  <si>
    <t>Блок управления шкафного исполнения или распределительный пункт (шкаф), устанавливаемый: на полу, высота и ширина до 1700х1100 мм</t>
  </si>
  <si>
    <t>Низковольтное комплектное устройство НКУ (согласно ОЛ)</t>
  </si>
  <si>
    <t>Шкаф управления и регулирования</t>
  </si>
  <si>
    <t>Станция управления ГНУ</t>
  </si>
  <si>
    <t>Шкаф телемеханики ШТМ МБСНУ</t>
  </si>
  <si>
    <t>Шкаф (пульт) управления навесной, высота, ширина и глубина: до 900х600х500 мм</t>
  </si>
  <si>
    <t>Шкаф ШСН МБСНУ</t>
  </si>
  <si>
    <t>Кабель до 35 кВ в проложенных трубах, блоках и коробах, с креплением на поворотах и концах трассы, масса 1 м кабеля: до 7 кг</t>
  </si>
  <si>
    <t>Кабель силовой, гибкий, с медными жилами, изоляцией и
оболочкой из ПВХ пониженной пожарной опасности, сеч. 5х120
мм.кв. ВВГнг(А)-LS ГОСТ 22483-2012</t>
  </si>
  <si>
    <t>Кабель силовой, гибкий, с медными жилами, изоляцией и
оболочкой из ПВХ пониженной пожарной опасности, сеч. 5х70
мм.кв. ВВГнг(А)-LS ГОСТ 22483-2012</t>
  </si>
  <si>
    <t>Кабель до 35 кВ в проложенных трубах, блоках и коробах, с креплением на поворотах и концах трассы, масса 1 м кабеля: до 2 кг</t>
  </si>
  <si>
    <t>Кабель силовой, гибкий, с медными жилами, изоляцией и
оболочкой из ПВХ пониженной пожарной опасности, сеч. 5х16
мм.кв. ВВГнг(А)-LS ГОСТ 22483-2012</t>
  </si>
  <si>
    <t>Кабель силовой, гибкий, с медными жилами, изоляцией и
оболочкой из ПВХ пониженной пожарной опасности, сеч. 5х10
мм.кв. ВВГнг(А)-LS ГОСТ 22483-2012</t>
  </si>
  <si>
    <t>Кабель силовой, гибкий, с медными жилами, изоляцией и
оболочкой из ПВХ пониженной пожарной опасности, сеч. 5х6
мм.кв. ВВГнг(А)-LS ГОСТ 22483-2012</t>
  </si>
  <si>
    <t>Кабель силовой, гибкий, с медными жилами, изоляцией и
оболочкой из ПВХ пониженной пожарной опасности, сеч. 5х4
мм.кв. ВВГнг(А)-LS ГОСТ 22483-2012</t>
  </si>
  <si>
    <t>Кабель силовой, гибкий, с медными жилами, изоляцией и
оболочкой из ПВХ пониженной пожарной опасности, сеч. 5х2,5
мм.кв. ВВГнг(А)-LS ГОСТ 22483-2012</t>
  </si>
  <si>
    <t>Кабель силовой, гибкий, с медными жилами, изоляцией и
оболочкой из ПВХ пониженной пожарной опасности, сеч. 3х6
мм.кв. ВВГнг(А)-LS ГОСТ 22483-2012</t>
  </si>
  <si>
    <t>Кабель силовой, гибкий, с медными жилами, изоляцией и
оболочкой из ПВХ пониженной пожарной опасности, сеч. 3х2,5
мм.кв. ВВГнг(А)-LS ГОСТ 22483-2012</t>
  </si>
  <si>
    <t>Кабель с медными жилами, с ПВХ изоляцией, бронированный, с защитным шланговым покрытием пониженной горючести, с низким дымо и газовыделением, сеч. 5х2,5 мм.кв.
мм.кв. ВБШвнг(А)-LSГОСТ 22483-2012</t>
  </si>
  <si>
    <t>Лента монтажная перфорированная 12х0.55</t>
  </si>
  <si>
    <t>Наконечники кабельные для кабеля с медными жилами сечением 120 мм.кв. ТМЛ 120–10 ГОСТ 7386-80</t>
  </si>
  <si>
    <t>Наконечники кабельные для кабеля с медными жилами сечением 70 мм.кв. ТМЛ 70–10 ГОСТ 7386-80</t>
  </si>
  <si>
    <t>Наконечники кабельные для кабеля с медными жилами сечением 16 мм.кв. ТМЛ 16–10 ГОСТ 7386-80</t>
  </si>
  <si>
    <t>Наконечники кабельные для кабеля с медными жилами сечением 10 мм.кв. ТМЛ 10–10 ГОСТ 7386-80</t>
  </si>
  <si>
    <t>Наконечники кабельные для кабеля с медными жилами сечением 6 мм.кв. ТМЛ 6-5–4 ГОСТ 7386-80</t>
  </si>
  <si>
    <t>Разводка по устройствам и подключение жил кабелей или проводов сечением: до 10 мм2</t>
  </si>
  <si>
    <t>Разводка по устройствам и подключение жил кабелей или проводов сечением: до 16 мм2</t>
  </si>
  <si>
    <t>Разводка по устройствам и подключение жил кабелей или проводов сечением: до 70 мм2</t>
  </si>
  <si>
    <t>Разводка по устройствам и подключение жил кабелей или проводов сечением: до 120 мм2</t>
  </si>
  <si>
    <t>Труба стальная по установленным конструкциям, в готовых бороздах, по основанию пола, диаметр: до 32 мм</t>
  </si>
  <si>
    <t>Термоусадочные трубки  ССД ТУТ 160/50</t>
  </si>
  <si>
    <t>Термоусадочные трубки  ТУТ-35/15</t>
  </si>
  <si>
    <t>Сигнальная лента ЛСЭ-400</t>
  </si>
  <si>
    <t>Песок речной средней крупности ГОСТ 8736-2014</t>
  </si>
  <si>
    <t>Засыпка траншеи механизированным способом с перемещением грунта до 5м, группа грунтов 1</t>
  </si>
  <si>
    <t>Опорные конструкции на болтовых соединениях (подвесы, консоли, профили, опоры, кронштейны и т.п.)</t>
  </si>
  <si>
    <t>Консоль BM на лоток с осн.300 , горячеоцинкованная сталь погружением после изготовления</t>
  </si>
  <si>
    <t>П-образный профиль PSM, L1200 мм, толщ. 2.5мм, сталь горячеоцинкованная</t>
  </si>
  <si>
    <t>П-образный профиль PSM, L800 мм, толщ. 2.5мм, сталь горячеоцинкованная</t>
  </si>
  <si>
    <t>Короб металлический на конструкциях, кронштейнах, по фермам и колоннам, длина: 3 м</t>
  </si>
  <si>
    <t>Лоток перфорированный, горячеоцинкованная сталь погружением после изготовления 80х200х3000</t>
  </si>
  <si>
    <t>Крышка лотка прямая, горячеоцинкованная сталь погружением после изготовления осн. 200мм, L=3000</t>
  </si>
  <si>
    <t>Угол верт. внутрений 90 гр., горячеоцинкованная сталь погружением после изготовления CS90, 80x200</t>
  </si>
  <si>
    <t>Угол верт. внешний 90 гр., горячеоцинкованная сталь погружением после изготовления CD90, 80x200</t>
  </si>
  <si>
    <t>Крышка угла верт. внутр. 90°, горячеоцинкованная сталь погружением после изготовления CS90 осн.200мм</t>
  </si>
  <si>
    <t>Крышка угла верт. внутр. 90°, горячеоцинкованная сталь погружением после изготовления CD90 осн.200мм</t>
  </si>
  <si>
    <t>Пластина для электрического контакта, медь PTCE</t>
  </si>
  <si>
    <t>Пластина соединительная, горячеоцинкованная сталь погружением после изготовления GTO 80</t>
  </si>
  <si>
    <t>Винт с квадратным подголовником M6x10, гальванически оцинкованная сталь</t>
  </si>
  <si>
    <t>Гайка с насечкой, препятствующей откручиванию, гальванически оцинкованная сталь</t>
  </si>
  <si>
    <t>Винт для обеспечения электрического контакта крышек, гальванически оцинкованная сталь М5х8</t>
  </si>
  <si>
    <t>Болт с частиной резьбой M8x60, гальванически оцинкованная сталь М8х60</t>
  </si>
  <si>
    <t>Гайка с насечкой, препятствующей откручиванию, нержавеющая сталь AISI 304 М8</t>
  </si>
  <si>
    <t>Пуско-наладочные работы</t>
  </si>
  <si>
    <t>КЛ-0,4кВ</t>
  </si>
  <si>
    <t xml:space="preserve">Проверка целостности и фазировка электрической линии </t>
  </si>
  <si>
    <t>линия</t>
  </si>
  <si>
    <t xml:space="preserve">Измерение сопротивления изоляции КЛ-0,4 кВ </t>
  </si>
  <si>
    <t>Замер полного сопротивления цепи «фаза-нуль»</t>
  </si>
  <si>
    <t>НКУ</t>
  </si>
  <si>
    <t>Пусконаладка АВ до 250 А</t>
  </si>
  <si>
    <t>Пусконаладка АВ до 100 А</t>
  </si>
  <si>
    <t>Прожекторные мачты</t>
  </si>
  <si>
    <t>Сети производственно-дождевой канализации К3</t>
  </si>
  <si>
    <t>СИН.04.20-49-Р-1.2.850-НВК-Ч-004</t>
  </si>
  <si>
    <t>Труба стальная электросварная прямошовная 219х4,5 мм, материал сталь 20 по ГОСТ 10704-91. Наружное трёхслойное покрытие по ТУ 1390-003-00186654-2008 в соответствии с ГОСТ 9.602-2016, приложение Ж, табл.Ж1 -усиленного типа комбинированное на основе полиэтиленовой ленты и экструдированного полиэтилена.</t>
  </si>
  <si>
    <t>Монтаж оборудования на открытой площадке, масса оборудования: 3,5 т (емкость канализационная V=40м3)</t>
  </si>
  <si>
    <t>Емкость канализационная подземная V=40м3 (согласно ОЛ)</t>
  </si>
  <si>
    <t>4 / 0,08</t>
  </si>
  <si>
    <t>Задвижка клиновая с ручным приводом ЗКЛ2-80-40, DN 80, PN
4,0 МПа в комплекте с ответными фланцами по ГОСТ 33259-2015
Ст 20, прокладками и крепежом</t>
  </si>
  <si>
    <t>СИН.04.20-49-Р-1.2.850-НВК-Ч-005</t>
  </si>
  <si>
    <t>Колодцы дождеприемные (8шт)</t>
  </si>
  <si>
    <t xml:space="preserve">Изготовление и монтаж металлических дождеприемных колодцев сборка, даметром 0,7м в сухих грунтах с помощью: крана на автомобильном ходу </t>
  </si>
  <si>
    <t>8 / 2,457</t>
  </si>
  <si>
    <t>Труба 720х10 по ГОСТ 10704-91</t>
  </si>
  <si>
    <t>СИН.04.20-49-Р-1.2.850-НВК-Ч-007</t>
  </si>
  <si>
    <t>Колодцы с гидрозатвором, переключающий колодец, накопительный колодец (8 шт)</t>
  </si>
  <si>
    <t>Установка круглых сборных колодцев из полимерных материалов: высотой 2,0 м, диаметром 1500 мм</t>
  </si>
  <si>
    <t>Дно колодца из полимерно-композитной смеси D 1500мм, Н 36мм по ТУ 5772-001-09351267-2016</t>
  </si>
  <si>
    <t>Кольцо колодца из полимерно-композитной смеси D 1500мм, Н 200мм по ТУ 5772-001-09351267-2016</t>
  </si>
  <si>
    <t>Конус колодца из полимерно-композитной смеси D 1500мм, Н 125мм по ТУ 5772-001-09351267-2016</t>
  </si>
  <si>
    <t>1 / 1,86</t>
  </si>
  <si>
    <t>Плита днища ПН-15 по ГОСТ 8020-2016</t>
  </si>
  <si>
    <t>Кольцо стеновое КС 15.6 по ГОСТ 8020-2016</t>
  </si>
  <si>
    <t>Кольцо стеновое КС 15.10 по ГОСТ 8020-2016</t>
  </si>
  <si>
    <t>Плита перекрытия 1ПП15-1 по ГОСТ 8020-2016</t>
  </si>
  <si>
    <t>Кольцо опорное КО6 по ГОСТ 8020-2016</t>
  </si>
  <si>
    <t>Установка люка</t>
  </si>
  <si>
    <t>Изготовление и монтаж узла трубопроводов из труб углеродистых сталей, монтируемого канализационных колодцах, диаметр трубопровода наружный: 219 мм</t>
  </si>
  <si>
    <t>Длина указана без учета длины фасонных частей</t>
  </si>
  <si>
    <t>Заглушка 1-200-6.0 АТК 24.200.02-90</t>
  </si>
  <si>
    <t>Фланец 1-200-6.0 в комплекте с крепежом ГОСТ 12820-80</t>
  </si>
  <si>
    <t>Тройник 219х4,5 мм</t>
  </si>
  <si>
    <t>Колодцы поворотные (2 шт)</t>
  </si>
  <si>
    <t>Установка круглых сборных колодцев из полимерных материалов: высотой 3,5 м, диаметром 1000 мм</t>
  </si>
  <si>
    <t xml:space="preserve">Трубопровод </t>
  </si>
  <si>
    <t>Укладка канализационных безнапорных металлических труб диаметром: 219 мм</t>
  </si>
  <si>
    <t>Труба стальная электросварная прямошовная 219х4,5 мм, материал сталь 20 по ГОСТ 10704-91. Наружное трёхслойное покрытие по ТУ 1390-003-00186654-2008
в соответствии с ГОСТ 9.602-2016</t>
  </si>
  <si>
    <t>Тройник 219х6.0 мм по ГОСТ 17376-2001</t>
  </si>
  <si>
    <t xml:space="preserve">Отвод 90° крутоизогнутый приварной бесшовный 219х4,5мм из ст.20 </t>
  </si>
  <si>
    <t>Изготовление защитного кожуха и укладка в траншею кожуха диаметром: 426х6 мм, для стального трубопровода Ду 219 мм</t>
  </si>
  <si>
    <t>1 м / 1 кожух</t>
  </si>
  <si>
    <t>10 / 1</t>
  </si>
  <si>
    <t>Трубы стальные электросварные прямошовные ø426х6,0 по ГОСТ 10704-91 с
наружным трёхслойным защитным покрытием на основе экструдированного полиэтилена по ТУ 1390-003-00186654-2008</t>
  </si>
  <si>
    <t xml:space="preserve">Протаскивание в защитный кожух трубопровода: Ду 219 мм с герметизацией концов защитного кожуха </t>
  </si>
  <si>
    <t>Манжета "ТЕРМА-СТМП" 400х2х200</t>
  </si>
  <si>
    <t>Химически стойкая герметизирующая мастика Химфлекс EPU-510</t>
  </si>
  <si>
    <t>Укладка канализационных безнапорных металлических труб диаметром: 114 мм</t>
  </si>
  <si>
    <t>Тройник 114х6.0 мм по ГОСТ 17376-2001</t>
  </si>
  <si>
    <t xml:space="preserve">Отвод 90° крутоизогнутый приварной бесшовный 114х6мм из ст.20 </t>
  </si>
  <si>
    <t>Колонка управления задвижкой Ду100 с ручным приводом -VIII по Серия 3.901-13 Выпуск 5</t>
  </si>
  <si>
    <t>Срок выполнения работ: май 2024г - август 2025г</t>
  </si>
  <si>
    <t>Выполнить строительно-монтажные работы в соответствии с проектной документацией, нормативными документами, актами, положениями и правилами, действующими на территории РФ и положениями, регламентами и приказами по АО «Самараинвестнефть».</t>
  </si>
  <si>
    <t>Подрядчику разработать проект производства работ (ППР) согласно СП 48.13330.2011, работы производяться в стесненных условиях на действующем опасном производственном объекте.</t>
  </si>
  <si>
    <t>Подрядчику предусмотреть временные здания и сооружения для складирования и хранения ТМЦ в размере 3,5% от СМР</t>
  </si>
  <si>
    <t>Стоимость работ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</si>
  <si>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</si>
  <si>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</si>
  <si>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</si>
  <si>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Подрядчик обязан иметь все необходимые допуски на право выполнения всех работ, связанных с реализацией настоящего технического задания, а в случае привлечения сторонних организаций согласовывать с заказчиком.</t>
  </si>
  <si>
    <t>По окончании работ подрядчик обязан предоставить в полном объеме исполнительную документацию (включая спец.журналы) согласно действующих на сегодняшний момент нормативных документов.</t>
  </si>
  <si>
    <t>Все затраты на проведение согласований и заключений во время производства работ производит подрядчик.</t>
  </si>
  <si>
    <t xml:space="preserve">Протяженность дороги от базы АО Самараинвестнефть в п. Суходол до Орловского месторождения:
- асфальтированная дорога II категории - 30 км;                                                                                                                     </t>
  </si>
  <si>
    <t xml:space="preserve">Протяженность дороги от г. Самара до Орловского месторождения:
- асфальтированная дорога II категории - 70 км;                                                                                                                                                  </t>
  </si>
  <si>
    <t>При определении стоимости транспортировки материалов принять поправки:</t>
  </si>
  <si>
    <t>- грунт: потери при транспортировке Ктр = 1,01, уплотнение Купл = 1,05, удельный вес - 1,2 тн/м3;</t>
  </si>
  <si>
    <t>- песок: потери при транспортировке Ктр = 1,01, уплотнение Купл = 1,05, удельный вес - 1,6 тн/м3;</t>
  </si>
  <si>
    <t>- щебень: уплотнение Купл = 1,32, удельный вес - 1,26 тн/м3;</t>
  </si>
  <si>
    <t>Доставка материалов поставки Подрядчика осуществляется согласно транспортной схемы Подрядчика, утвержденной Заказчиком.</t>
  </si>
  <si>
    <t xml:space="preserve">Материалы поставки Заказчика, передаются Подрядчику по давальческой схеме в присутствии уполномоченного представителя Подрядчика. </t>
  </si>
  <si>
    <t>Погрузка и перевозка материалов Заказчика на производственной базе Заказчика (п.Суходол) осуществляется силами Заказчика в присутствии уполномоченного представителя Подрядчика. Разгрузка материалов поставки Заказчика со склада в п.Суходол на объекте производства работ осуществляется силами Подрядчика. При составлении сметной документации, Подрядчику учитывать затраты на разгрузку давальческих материалов Заказчика.</t>
  </si>
  <si>
    <t>При составлении сметной документации руководствоваться актуальной редакцией сборников базовых цен Федеральных единичных расценок, в программе Гранд-смета, с использованием  индексов  ООО "Стройинформресурс"</t>
  </si>
  <si>
    <t>Формирование стоимости услуг произвести на основании сборников базовых цен (ФЕР, ФЕРр, ФЕРм) региона нахождения объекта строительства с последующим пересчетом в текущий уровень цен по индексам ООО "Стройинформресурс" Самарской обл. на период размещения на сайте компании разыгрываемого лота в програмном комплексе Гранд.</t>
  </si>
  <si>
    <t xml:space="preserve">Работы по погрузке, перевозке и разгрузке материалов и оборудования определяются на основании нормативной базы ФЕР с пересчетом в текущий уровень цен индексами ООО Стройинформресурс на период формирования сметной документации.  </t>
  </si>
  <si>
    <t>Затраты на перебазировку строительной техники следует представить в виде расчета на объект и обратно в текущих ценах с исключением затрат на перебазировку, учтённых в стоимости машино-часа в размере усреднённого процента (5%) от общей стоимости эксплуатации строительной техники по смете.</t>
  </si>
  <si>
    <t>Стоимость материалов применяемых в составлении сметной документации производится на основании федеральных сборников сметных цен утвержденных МинСтроем РФ. Дополнительные расчеты по компенсации стоимости материальных ресурсов не предусмотрены.</t>
  </si>
  <si>
    <t>Условия оплаты: Отсутствие авансирования, оплата работ производится в течение 60 (шестидесяти) календарных дней с момента подписания Заказчиком Актов о приемке выполненых работ КС-2, Отчета об израсходованных материалах при строительных работах, Справки о стоимости выполненых работ и затрат КС-3 и предоставления Подрядчиком счета-фактуры, а также полного пакета исполнительной документации.</t>
  </si>
  <si>
    <t>Подрядчику предусмотреть "Производство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 К=1,15:
- разветвленная сеть транспортных и инженерных коммуникаций;
- стесненные условия для складирования материалов;
- действующее технологическое оборудование;
- движение технологического транспорта"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</si>
</sst>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rgb="FFFFFFCC"/>
      <name val="Calibri"/>
      <family val="2"/>
      <charset val="204"/>
      <scheme val="minor"/>
    </font>
    <font>
      <sz val="14"/>
      <color rgb="FFFFFFCC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FFCC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name val="Helv"/>
      <charset val="204"/>
    </font>
    <font>
      <sz val="12"/>
      <name val="Calibri"/>
      <family val="2"/>
      <scheme val="minor"/>
    </font>
    <font>
      <sz val="11"/>
      <color rgb="FFFFFFCC"/>
      <name val="Times New Roman"/>
      <family val="1"/>
      <charset val="204"/>
    </font>
    <font>
      <b/>
      <sz val="13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7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3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1" fillId="2" borderId="0" xfId="0" applyFont="1" applyFill="1" applyAlignment="1">
      <alignment horizontal="lef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3" fillId="6" borderId="0" xfId="0" applyFont="1" applyFill="1" applyBorder="1" applyAlignment="1">
      <alignment horizontal="left" vertical="center" wrapText="1"/>
    </xf>
    <xf numFmtId="14" fontId="7" fillId="6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165" fontId="1" fillId="7" borderId="4" xfId="0" applyNumberFormat="1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left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/>
    </xf>
    <xf numFmtId="165" fontId="9" fillId="7" borderId="4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1" fillId="7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right" vertical="center" wrapText="1"/>
    </xf>
    <xf numFmtId="0" fontId="1" fillId="7" borderId="4" xfId="0" quotePrefix="1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right" vertical="center" wrapText="1"/>
    </xf>
    <xf numFmtId="0" fontId="1" fillId="2" borderId="4" xfId="0" quotePrefix="1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right" vertical="center" wrapText="1"/>
    </xf>
    <xf numFmtId="164" fontId="9" fillId="7" borderId="4" xfId="0" applyNumberFormat="1" applyFont="1" applyFill="1" applyBorder="1" applyAlignment="1">
      <alignment horizontal="center" vertical="center" wrapText="1"/>
    </xf>
    <xf numFmtId="0" fontId="1" fillId="0" borderId="4" xfId="0" quotePrefix="1" applyNumberFormat="1" applyFon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/>
    </xf>
    <xf numFmtId="0" fontId="9" fillId="7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2" fontId="9" fillId="7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7" borderId="4" xfId="0" applyNumberFormat="1" applyFont="1" applyFill="1" applyBorder="1" applyAlignment="1">
      <alignment horizontal="center" vertical="center" wrapText="1"/>
    </xf>
    <xf numFmtId="166" fontId="9" fillId="7" borderId="4" xfId="0" applyNumberFormat="1" applyFont="1" applyFill="1" applyBorder="1" applyAlignment="1">
      <alignment horizontal="center" vertical="center"/>
    </xf>
    <xf numFmtId="0" fontId="6" fillId="0" borderId="0" xfId="0" applyFont="1"/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/>
    <xf numFmtId="0" fontId="10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" fillId="0" borderId="0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0" xfId="2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9" xfId="2" applyNumberFormat="1" applyFont="1" applyBorder="1" applyAlignment="1">
      <alignment horizontal="left" vertical="center" wrapText="1"/>
    </xf>
    <xf numFmtId="0" fontId="1" fillId="0" borderId="1" xfId="2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3" xfId="1" xr:uid="{00000000-0005-0000-0000-000001000000}"/>
    <cellStyle name="Обычный_ВЛ-6кВ №4, №5 (на сайте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3700</xdr:row>
      <xdr:rowOff>0</xdr:rowOff>
    </xdr:from>
    <xdr:to>
      <xdr:col>1</xdr:col>
      <xdr:colOff>561975</xdr:colOff>
      <xdr:row>3700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954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3700</xdr:row>
      <xdr:rowOff>0</xdr:rowOff>
    </xdr:from>
    <xdr:to>
      <xdr:col>1</xdr:col>
      <xdr:colOff>574221</xdr:colOff>
      <xdr:row>3700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07696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161925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3700</xdr:row>
      <xdr:rowOff>0</xdr:rowOff>
    </xdr:from>
    <xdr:to>
      <xdr:col>0</xdr:col>
      <xdr:colOff>510948</xdr:colOff>
      <xdr:row>3700</xdr:row>
      <xdr:rowOff>161925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123825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3700</xdr:row>
      <xdr:rowOff>0</xdr:rowOff>
    </xdr:from>
    <xdr:to>
      <xdr:col>1</xdr:col>
      <xdr:colOff>523875</xdr:colOff>
      <xdr:row>3700</xdr:row>
      <xdr:rowOff>123825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6" name="Text Box 10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158177</xdr:rowOff>
    </xdr:to>
    <xdr:sp macro="" textlink="">
      <xdr:nvSpPr>
        <xdr:cNvPr id="37" name="Text Box 107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520473</xdr:colOff>
      <xdr:row>3700</xdr:row>
      <xdr:rowOff>162596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159203</xdr:rowOff>
    </xdr:to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5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159204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159204</xdr:rowOff>
    </xdr:to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159204</xdr:rowOff>
    </xdr:to>
    <xdr:sp macro="" textlink="">
      <xdr:nvSpPr>
        <xdr:cNvPr id="75" name="Text Box 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112" name="Text Box 1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3700</xdr:row>
      <xdr:rowOff>0</xdr:rowOff>
    </xdr:from>
    <xdr:to>
      <xdr:col>3</xdr:col>
      <xdr:colOff>76200</xdr:colOff>
      <xdr:row>3700</xdr:row>
      <xdr:rowOff>161925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3700</xdr:row>
      <xdr:rowOff>0</xdr:rowOff>
    </xdr:from>
    <xdr:to>
      <xdr:col>1</xdr:col>
      <xdr:colOff>21771</xdr:colOff>
      <xdr:row>3700</xdr:row>
      <xdr:rowOff>161925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4646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2" name="Text Box 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4" name="Text Box 1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32" name="Text Box 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6" name="Text Box 1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3700</xdr:row>
      <xdr:rowOff>161925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48" name="Text Box 1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49" name="Text Box 1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50" name="Text Box 1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55" name="Text Box 1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435769</xdr:colOff>
      <xdr:row>3700</xdr:row>
      <xdr:rowOff>0</xdr:rowOff>
    </xdr:from>
    <xdr:to>
      <xdr:col>0</xdr:col>
      <xdr:colOff>440532</xdr:colOff>
      <xdr:row>3700</xdr:row>
      <xdr:rowOff>159520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164284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164284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164284</xdr:rowOff>
    </xdr:to>
    <xdr:sp macro="" textlink="">
      <xdr:nvSpPr>
        <xdr:cNvPr id="160" name="Text Box 108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161903</xdr:rowOff>
    </xdr:to>
    <xdr:sp macro="" textlink="">
      <xdr:nvSpPr>
        <xdr:cNvPr id="161" name="Text Box 107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164284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3700</xdr:row>
      <xdr:rowOff>0</xdr:rowOff>
    </xdr:from>
    <xdr:to>
      <xdr:col>0</xdr:col>
      <xdr:colOff>449036</xdr:colOff>
      <xdr:row>3700</xdr:row>
      <xdr:rowOff>157819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71" name="Text Box 1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3700</xdr:row>
      <xdr:rowOff>0</xdr:rowOff>
    </xdr:from>
    <xdr:to>
      <xdr:col>4</xdr:col>
      <xdr:colOff>457200</xdr:colOff>
      <xdr:row>3700</xdr:row>
      <xdr:rowOff>161925</xdr:rowOff>
    </xdr:to>
    <xdr:sp macro="" textlink="">
      <xdr:nvSpPr>
        <xdr:cNvPr id="173" name="Text Box 1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485775</xdr:colOff>
      <xdr:row>3700</xdr:row>
      <xdr:rowOff>0</xdr:rowOff>
    </xdr:from>
    <xdr:ext cx="76200" cy="1619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954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3700</xdr:row>
      <xdr:rowOff>0</xdr:rowOff>
    </xdr:from>
    <xdr:ext cx="76200" cy="16192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07696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83" name="Text Box 1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84" name="Text Box 1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85" name="Text Box 1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86" name="Text Box 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61925"/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6" name="Text Box 1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" name="Text Box 1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9" name="Text Box 2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0" name="Text Box 2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23825"/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3700</xdr:row>
      <xdr:rowOff>0</xdr:rowOff>
    </xdr:from>
    <xdr:ext cx="76200" cy="1238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57350" y="71377492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8" name="Text Box 108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09" name="Text Box 107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9" name="Text Box 1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20" name="Text Box 1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2" name="Text Box 1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3" name="Text Box 1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27" name="Text Box 1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29" name="Text Box 1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35" name="Text Box 1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59203"/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5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59204"/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40" name="Text Box 1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59204"/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242" name="Text Box 1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243" name="Text Box 1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44" name="Text Box 1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45" name="Text Box 1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49" name="Text Box 1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1" name="Text Box 1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2" name="Text Box 1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6" name="Text Box 1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8" name="Text Box 1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0" name="Text Box 1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4" name="Text Box 1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66" name="Text Box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67" name="Text Box 1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69" name="Text Box 1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4" name="Text Box 1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81" name="Text Box 1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84" name="Text Box 1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3700</xdr:row>
      <xdr:rowOff>0</xdr:rowOff>
    </xdr:from>
    <xdr:ext cx="76200" cy="161925"/>
    <xdr:sp macro="" textlink="">
      <xdr:nvSpPr>
        <xdr:cNvPr id="285" name="Text Box 1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27722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7" name="Text Box 1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8" name="Text Box 1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89" name="Text Box 1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7" name="Text Box 1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0" name="Text Box 1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2" name="Text Box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03" name="Text Box 1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04" name="Text Box 17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5" name="Text Box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6" name="Text Box 1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7" name="Text Box 1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6" name="Text Box 1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7" name="Text Box 1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3700</xdr:row>
      <xdr:rowOff>0</xdr:rowOff>
    </xdr:from>
    <xdr:ext cx="76200" cy="161925"/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1" name="Text Box 1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2" name="Text Box 1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4" name="Text Box 1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27" name="Text Box 1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32" name="Text Box 108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333" name="Text Box 107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42" name="Text Box 1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43" name="Text Box 1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44" name="Text Box 1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3700</xdr:row>
      <xdr:rowOff>0</xdr:rowOff>
    </xdr:from>
    <xdr:ext cx="76200" cy="161925"/>
    <xdr:sp macro="" textlink="">
      <xdr:nvSpPr>
        <xdr:cNvPr id="345" name="Text Box 1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048875" y="7137749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49" name="Text Box 1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50" name="Text Box 1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52" name="Text Box 2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53" name="Text Box 2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58" name="Text Box 108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359" name="Text Box 107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68" name="Text Box 1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69" name="Text Box 1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71" name="Text Box 1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373" name="Text Box 1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75" name="Text Box 1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80" name="Text Box 108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381" name="Text Box 107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3" name="Text Box 1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4" name="Text Box 1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2" name="Text Box 108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403" name="Text Box 107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3" name="Text Box 1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5" name="Text Box 1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6" name="Text Box 1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8" name="Text Box 1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19" name="Text Box 1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24" name="Text Box 108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425" name="Text Box 107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37" name="Text Box 17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38" name="Text Box 1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40" name="Text Box 2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41" name="Text Box 2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6" name="Text Box 108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447" name="Text Box 107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56" name="Text Box 1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58" name="Text Box 1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59" name="Text Box 1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60" name="Text Box 1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461" name="Text Box 1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62" name="Text Box 1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463" name="Text Box 1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68" name="Text Box 108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469" name="Text Box 107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0" name="Text Box 108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491" name="Text Box 107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0" name="Text Box 1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1" name="Text Box 1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3" name="Text Box 1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505" name="Text Box 1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6" name="Text Box 1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07" name="Text Box 1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12" name="Text Box 108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513" name="Text Box 107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5" name="Text Box 1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6" name="Text Box 1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8" name="Text Box 2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29" name="Text Box 2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4" name="Text Box 108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535" name="Text Box 107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44" name="Text Box 1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45" name="Text Box 1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46" name="Text Box 1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47" name="Text Box 1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549" name="Text Box 1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50" name="Text Box 1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51" name="Text Box 1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56" name="Text Box 108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557" name="Text Box 107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69" name="Text Box 1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70" name="Text Box 1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71" name="Text Box 1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72" name="Text Box 2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573" name="Text Box 2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78" name="Text Box 108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579" name="Text Box 107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88" name="Text Box 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90" name="Text Box 1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91" name="Text Box 1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92" name="Text Box 1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94" name="Text Box 1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595" name="Text Box 1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00" name="Text Box 108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601" name="Text Box 107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4" name="Text Box 1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6" name="Text Box 2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17" name="Text Box 2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2" name="Text Box 108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623" name="Text Box 107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3" name="Text Box 1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5" name="Text Box 1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6" name="Text Box 1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637" name="Text Box 1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8" name="Text Box 1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39" name="Text Box 1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44" name="Text Box 108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645" name="Text Box 107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57" name="Text Box 17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58" name="Text Box 1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2" name="Text Box 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6" name="Text Box 108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667" name="Text Box 107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76" name="Text Box 1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77" name="Text Box 1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78" name="Text Box 1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80" name="Text Box 1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681" name="Text Box 1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683" name="Text Box 1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88" name="Text Box 108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689" name="Text Box 107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01" name="Text Box 17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02" name="Text Box 1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04" name="Text Box 2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05" name="Text Box 2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06" name="Text Box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0" name="Text Box 108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711" name="Text Box 107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0" name="Text Box 1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1" name="Text Box 1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2" name="Text Box 1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3" name="Text Box 1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725" name="Text Box 1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6" name="Text Box 1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27" name="Text Box 1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32" name="Text Box 10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733" name="Text Box 107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5" name="Text Box 1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6" name="Text Box 1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8" name="Text Box 2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49" name="Text Box 2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4" name="Text Box 10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755" name="Text Box 107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64" name="Text Box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65" name="Text Box 1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66" name="Text Box 1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67" name="Text Box 1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68" name="Text Box 1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769" name="Text Box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70" name="Text Box 1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771" name="Text Box 1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76" name="Text Box 108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777" name="Text Box 107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89" name="Text Box 1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90" name="Text Box 1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91" name="Text Box 19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92" name="Text Box 2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793" name="Text Box 2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97" name="Text Box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798" name="Text Box 10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799" name="Text Box 107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1" name="Text Box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08" name="Text Box 1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09" name="Text Box 1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10" name="Text Box 1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11" name="Text Box 1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12" name="Text Box 1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813" name="Text Box 1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14" name="Text Box 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15" name="Text Box 1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20" name="Text Box 108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821" name="Text Box 107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6" name="Text Box 2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37" name="Text Box 2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1" name="Text Box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2" name="Text Box 108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843" name="Text Box 107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5" name="Text Box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2" name="Text Box 1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3" name="Text Box 1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5" name="Text Box 1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857" name="Text Box 1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59" name="Text Box 1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64" name="Text Box 108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865" name="Text Box 107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67" name="Text Box 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77" name="Text Box 17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78" name="Text Box 1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6" name="Text Box 10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887" name="Text Box 107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96" name="Text Box 1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97" name="Text Box 1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98" name="Text Box 1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899" name="Text Box 1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901" name="Text Box 1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02" name="Text Box 1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03" name="Text Box 1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08" name="Text Box 10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909" name="Text Box 107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21" name="Text Box 1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22" name="Text Box 1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24" name="Text Box 2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25" name="Text Box 2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26" name="Text Box 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0" name="Text Box 108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931" name="Text Box 107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8" name="Text Box 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0" name="Text Box 1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1" name="Text Box 1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2" name="Text Box 1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3" name="Text Box 1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4" name="Text Box 1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945" name="Text Box 1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47" name="Text Box 1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52" name="Text Box 108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953" name="Text Box 107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5" name="Text Box 17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6" name="Text Box 1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8" name="Text Box 2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969" name="Text Box 2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4" name="Text Box 108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975" name="Text Box 107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8" name="Text Box 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84" name="Text Box 1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85" name="Text Box 1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86" name="Text Box 1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87" name="Text Box 1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989" name="Text Box 1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90" name="Text Box 1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991" name="Text Box 1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992" name="Text Box 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96" name="Text Box 10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997" name="Text Box 107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09" name="Text Box 1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12" name="Text Box 2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13" name="Text Box 2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14" name="Text Box 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18" name="Text Box 108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019" name="Text Box 107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4" name="Text Box 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28" name="Text Box 1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29" name="Text Box 1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30" name="Text Box 1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32" name="Text Box 1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033" name="Text Box 1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34" name="Text Box 1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35" name="Text Box 1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40" name="Text Box 108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041" name="Text Box 107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6" name="Text Box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8" name="Text Box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3" name="Text Box 1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4" name="Text Box 1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57" name="Text Box 2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58" name="Text Box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2" name="Text Box 108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063" name="Text Box 107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6" name="Text Box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2" name="Text Box 1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3" name="Text Box 1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4" name="Text Box 1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5" name="Text Box 1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6" name="Text Box 1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077" name="Text Box 1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8" name="Text Box 1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079" name="Text Box 1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84" name="Text Box 108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085" name="Text Box 107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92" name="Text Box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97" name="Text Box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98" name="Text Box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099" name="Text Box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00" name="Text Box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01" name="Text Box 2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2" name="Text Box 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6" name="Text Box 108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107" name="Text Box 107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18" name="Text Box 1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19" name="Text Box 1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20" name="Text Box 1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23" name="Text Box 1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28" name="Text Box 10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129" name="Text Box 10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41" name="Text Box 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42" name="Text Box 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44" name="Text Box 2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45" name="Text Box 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0" name="Text Box 108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151" name="Text Box 107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0" name="Text Box 1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1" name="Text Box 1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2" name="Text Box 1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3" name="Text Box 1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6" name="Text Box 1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167" name="Text Box 1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72" name="Text Box 10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173" name="Text Box 107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5" name="Text Box 1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6" name="Text Box 1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8" name="Text Box 2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189" name="Text Box 2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3" name="Text Box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4" name="Text Box 10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195" name="Text Box 107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04" name="Text Box 1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06" name="Text Box 1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08" name="Text Box 1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209" name="Text Box 1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10" name="Text Box 1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11" name="Text Box 1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16" name="Text Box 10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217" name="Text Box 107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29" name="Text Box 17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30" name="Text Box 1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32" name="Text Box 2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33" name="Text Box 2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37" name="Text Box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38" name="Text Box 10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239" name="Text Box 107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5" name="Text Box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48" name="Text Box 1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49" name="Text Box 1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51" name="Text Box 1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52" name="Text Box 1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253" name="Text Box 1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55" name="Text Box 1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59" name="Text Box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60" name="Text Box 10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261" name="Text Box 107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3" name="Text Box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3" name="Text Box 17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4" name="Text Box 1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6" name="Text Box 2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277" name="Text Box 2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2" name="Text Box 10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283" name="Text Box 107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2" name="Text Box 1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3" name="Text Box 1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5" name="Text Box 1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6" name="Text Box 1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297" name="Text Box 1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8" name="Text Box 1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299" name="Text Box 1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04" name="Text Box 10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305" name="Text Box 107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07" name="Text Box 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17" name="Text Box 17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18" name="Text Box 1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20" name="Text Box 2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21" name="Text Box 2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6" name="Text Box 108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327" name="Text Box 107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29" name="Text Box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37" name="Text Box 1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38" name="Text Box 1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39" name="Text Box 1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40" name="Text Box 1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42" name="Text Box 1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43" name="Text Box 1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47" name="Text Box 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48" name="Text Box 108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349" name="Text Box 107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5" name="Text Box 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61" name="Text Box 1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62" name="Text Box 1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63" name="Text Box 1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64" name="Text Box 2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365" name="Text Box 2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0" name="Text Box 108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371" name="Text Box 107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3" name="Text Box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1" name="Text Box 1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2" name="Text Box 1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4" name="Text Box 1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385" name="Text Box 1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6" name="Text Box 1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387" name="Text Box 1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91" name="Text Box 3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92" name="Text Box 108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393" name="Text Box 107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8" name="Text Box 2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09" name="Text Box 2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4" name="Text Box 108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415" name="Text Box 107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24" name="Text Box 1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25" name="Text Box 1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26" name="Text Box 1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27" name="Text Box 1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429" name="Text Box 1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30" name="Text Box 1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31" name="Text Box 1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432" name="Text Box 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36" name="Text Box 108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437" name="Text Box 107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49" name="Text Box 1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51" name="Text Box 19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52" name="Text Box 2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53" name="Text Box 2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58" name="Text Box 10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459" name="Text Box 107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2" name="Text Box 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68" name="Text Box 1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70" name="Text Box 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71" name="Text Box 1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72" name="Text Box 1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473" name="Text Box 1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74" name="Text Box 1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475" name="Text Box 1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476" name="Text Box 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80" name="Text Box 108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481" name="Text Box 107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8" name="Text Box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3" name="Text Box 1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4" name="Text Box 1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5" name="Text Box 1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6" name="Text Box 2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497" name="Text Box 2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2" name="Text Box 108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503" name="Text Box 107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2" name="Text Box 1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3" name="Text Box 1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4" name="Text Box 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5" name="Text Box 1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6" name="Text Box 1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517" name="Text Box 1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19" name="Text Box 1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520" name="Text Box 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24" name="Text Box 108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525" name="Text Box 107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28" name="Text Box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32" name="Text Box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37" name="Text Box 17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38" name="Text Box 1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39" name="Text Box 1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40" name="Text Box 2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41" name="Text Box 2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6" name="Text Box 10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547" name="Text Box 107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52" name="Text Box 3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54" name="Text Box 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56" name="Text Box 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57" name="Text Box 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58" name="Text Box 1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59" name="Text Box 1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60" name="Text Box 1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561" name="Text Box 1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62" name="Text Box 1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563" name="Text Box 1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68" name="Text Box 108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569" name="Text Box 107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81" name="Text Box 1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82" name="Text Box 1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83" name="Text Box 1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84" name="Text Box 2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585" name="Text Box 2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0" name="Text Box 108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591" name="Text Box 10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1" name="Text Box 1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2" name="Text Box 1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3" name="Text Box 1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605" name="Text Box 1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6" name="Text Box 1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07" name="Text Box 1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12" name="Text Box 10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613" name="Text Box 107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20" name="Text Box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5" name="Text Box 1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6" name="Text Box 1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8" name="Text Box 2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29" name="Text Box 2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4" name="Text Box 10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635" name="Text Box 107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42" name="Text Box 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44" name="Text Box 1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45" name="Text Box 1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46" name="Text Box 1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47" name="Text Box 1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48" name="Text Box 1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649" name="Text Box 1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50" name="Text Box 1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51" name="Text Box 1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56" name="Text Box 10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657" name="Text Box 107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59" name="Text Box 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61" name="Text Box 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69" name="Text Box 1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70" name="Text Box 1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71" name="Text Box 1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72" name="Text Box 2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673" name="Text Box 2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78" name="Text Box 108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679" name="Text Box 107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1" name="Text Box 3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88" name="Text Box 1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90" name="Text Box 1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91" name="Text Box 1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92" name="Text Box 1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695" name="Text Box 1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00" name="Text Box 10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701" name="Text Box 107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3" name="Text Box 1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4" name="Text Box 1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6" name="Text Box 2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17" name="Text Box 2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2" name="Text Box 10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723" name="Text Box 107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2" name="Text Box 1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3" name="Text Box 1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5" name="Text Box 1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6" name="Text Box 1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737" name="Text Box 1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8" name="Text Box 1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39" name="Text Box 1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43" name="Text Box 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44" name="Text Box 108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745" name="Text Box 107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60" name="Text Box 2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61" name="Text Box 2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6" name="Text Box 108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767" name="Text Box 107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69" name="Text Box 3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76" name="Text Box 1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77" name="Text Box 1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79" name="Text Box 1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781" name="Text Box 1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82" name="Text Box 1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783" name="Text Box 13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88" name="Text Box 108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789" name="Text Box 107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01" name="Text Box 17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02" name="Text Box 1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03" name="Text Box 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04" name="Text Box 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05" name="Text Box 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0" name="Text Box 10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811" name="Text Box 107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0" name="Text Box 1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1" name="Text Box 1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2" name="Text Box 1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3" name="Text Box 1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4" name="Text Box 14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825" name="Text Box 1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6" name="Text Box 1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27" name="Text Box 1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31" name="Text Box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32" name="Text Box 10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833" name="Text Box 107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35" name="Text Box 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5" name="Text Box 17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6" name="Text Box 1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7" name="Text Box 19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8" name="Text Box 2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49" name="Text Box 2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3" name="Text Box 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4" name="Text Box 108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855" name="Text Box 107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7" name="Text Box 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64" name="Text Box 1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65" name="Text Box 13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66" name="Text Box 1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67" name="Text Box 1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68" name="Text Box 1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869" name="Text Box 1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70" name="Text Box 1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871" name="Text Box 1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76" name="Text Box 10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877" name="Text Box 107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79" name="Text Box 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89" name="Text Box 17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90" name="Text Box 1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91" name="Text Box 19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92" name="Text Box 2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893" name="Text Box 2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898" name="Text Box 10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899" name="Text Box 107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4" name="Text Box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08" name="Text Box 1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09" name="Text Box 1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10" name="Text Box 1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11" name="Text Box 1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12" name="Text Box 1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913" name="Text Box 1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15" name="Text Box 1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916" name="Text Box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20" name="Text Box 108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921" name="Text Box 107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6" name="Text Box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3" name="Text Box 1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4" name="Text Box 1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5" name="Text Box 1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6" name="Text Box 2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37" name="Text Box 2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38" name="Text Box 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2" name="Text Box 108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943" name="Text Box 107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50" name="Text Box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2" name="Text Box 1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3" name="Text Box 1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4" name="Text Box 1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5" name="Text Box 1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6" name="Text Box 1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8" name="Text Box 1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59" name="Text Box 1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64" name="Text Box 108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1965" name="Text Box 107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7" name="Text Box 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8" name="Text Box 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79" name="Text Box 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80" name="Text Box 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1981" name="Text Box 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6" name="Text Box 10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1987" name="Text Box 107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96" name="Text Box 1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97" name="Text Box 1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98" name="Text Box 1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1999" name="Text Box 1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001" name="Text Box 1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02" name="Text Box 1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03" name="Text Box 1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08" name="Text Box 10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009" name="Text Box 107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21" name="Text Box 1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22" name="Text Box 1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24" name="Text Box 2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25" name="Text Box 2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0" name="Text Box 108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031" name="Text Box 107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0" name="Text Box 1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2" name="Text Box 1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3" name="Text Box 1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4" name="Text Box 1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045" name="Text Box 1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6" name="Text Box 1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47" name="Text Box 1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52" name="Text Box 10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053" name="Text Box 1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5" name="Text Box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6" name="Text Box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8" name="Text Box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4" name="Text Box 108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075" name="Text Box 107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84" name="Text Box 1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85" name="Text Box 1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87" name="Text Box 1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88" name="Text Box 1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089" name="Text Box 1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90" name="Text Box 1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091" name="Text Box 1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96" name="Text Box 10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097" name="Text Box 107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09" name="Text Box 17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11" name="Text Box 1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12" name="Text Box 2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13" name="Text Box 2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18" name="Text Box 108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119" name="Text Box 107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28" name="Text Box 1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30" name="Text Box 1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31" name="Text Box 1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32" name="Text Box 14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133" name="Text Box 1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35" name="Text Box 1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40" name="Text Box 108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141" name="Text Box 107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3" name="Text Box 1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4" name="Text Box 1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5" name="Text Box 1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57" name="Text Box 2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2" name="Text Box 108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163" name="Text Box 107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2" name="Text Box 1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3" name="Text Box 1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5" name="Text Box 1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6" name="Text Box 1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177" name="Text Box 1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8" name="Text Box 1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179" name="Text Box 1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84" name="Text Box 108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185" name="Text Box 107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97" name="Text Box 17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98" name="Text Box 1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199" name="Text Box 19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00" name="Text Box 2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01" name="Text Box 2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6" name="Text Box 108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207" name="Text Box 107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16" name="Text Box 1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17" name="Text Box 1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18" name="Text Box 1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19" name="Text Box 1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20" name="Text Box 1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221" name="Text Box 1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22" name="Text Box 1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23" name="Text Box 1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28" name="Text Box 108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229" name="Text Box 107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41" name="Text Box 1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42" name="Text Box 1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43" name="Text Box 1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44" name="Text Box 2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45" name="Text Box 2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0" name="Text Box 10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251" name="Text Box 107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0" name="Text Box 1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1" name="Text Box 1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2" name="Text Box 1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3" name="Text Box 1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4" name="Text Box 1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265" name="Text Box 1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6" name="Text Box 1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267" name="Text Box 1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72" name="Text Box 108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273" name="Text Box 107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5" name="Text Box 1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6" name="Text Box 1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8" name="Text Box 2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289" name="Text Box 2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4" name="Text Box 10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295" name="Text Box 107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04" name="Text Box 1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05" name="Text Box 1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06" name="Text Box 1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07" name="Text Box 1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08" name="Text Box 1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309" name="Text Box 1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10" name="Text Box 1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16" name="Text Box 10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317" name="Text Box 107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29" name="Text Box 17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30" name="Text Box 18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31" name="Text Box 19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32" name="Text Box 2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33" name="Text Box 2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38" name="Text Box 108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339" name="Text Box 107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48" name="Text Box 1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49" name="Text Box 1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50" name="Text Box 1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52" name="Text Box 1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55" name="Text Box 1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60" name="Text Box 108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361" name="Text Box 107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3" name="Text Box 1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4" name="Text Box 1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5" name="Text Box 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6" name="Text Box 2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377" name="Text Box 2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2" name="Text Box 108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383" name="Text Box 107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2" name="Text Box 1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3" name="Text Box 1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4" name="Text Box 1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5" name="Text Box 13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397" name="Text Box 1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8" name="Text Box 1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399" name="Text Box 13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03" name="Text Box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04" name="Text Box 10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405" name="Text Box 107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17" name="Text Box 1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18" name="Text Box 18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19" name="Text Box 19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20" name="Text Box 2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21" name="Text Box 2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2" name="Text Box 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6" name="Text Box 10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427" name="Text Box 107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30" name="Text Box 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34" name="Text Box 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36" name="Text Box 1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37" name="Text Box 1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38" name="Text Box 1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39" name="Text Box 1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40" name="Text Box 14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441" name="Text Box 1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42" name="Text Box 1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43" name="Text Box 1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48" name="Text Box 108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449" name="Text Box 107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61" name="Text Box 17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62" name="Text Box 1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64" name="Text Box 2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465" name="Text Box 2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66" name="Text Box 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0" name="Text Box 108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471" name="Text Box 107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0" name="Text Box 1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1" name="Text Box 1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3" name="Text Box 1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4" name="Text Box 14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485" name="Text Box 1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6" name="Text Box 1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487" name="Text Box 1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488" name="Text Box 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92" name="Text Box 108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493" name="Text Box 107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5" name="Text Box 17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7" name="Text Box 19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8" name="Text Box 2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09" name="Text Box 2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4" name="Text Box 108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515" name="Text Box 107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24" name="Text Box 1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25" name="Text Box 1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26" name="Text Box 1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27" name="Text Box 1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28" name="Text Box 14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529" name="Text Box 1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30" name="Text Box 1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36" name="Text Box 108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537" name="Text Box 107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49" name="Text Box 17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50" name="Text Box 1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51" name="Text Box 19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52" name="Text Box 2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53" name="Text Box 2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58" name="Text Box 108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559" name="Text Box 107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68" name="Text Box 1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70" name="Text Box 1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71" name="Text Box 1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72" name="Text Box 1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573" name="Text Box 1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74" name="Text Box 1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575" name="Text Box 1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80" name="Text Box 10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581" name="Text Box 107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3" name="Text Box 1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4" name="Text Box 1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5" name="Text Box 19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6" name="Text Box 2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597" name="Text Box 2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2" name="Text Box 108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603" name="Text Box 107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2" name="Text Box 1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3" name="Text Box 1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4" name="Text Box 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5" name="Text Box 1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6" name="Text Box 1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617" name="Text Box 1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8" name="Text Box 1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19" name="Text Box 1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24" name="Text Box 10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625" name="Text Box 107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37" name="Text Box 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38" name="Text Box 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39" name="Text Box 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40" name="Text Box 2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41" name="Text Box 2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2" name="Text Box 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6" name="Text Box 10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647" name="Text Box 107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56" name="Text Box 1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57" name="Text Box 1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58" name="Text Box 1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59" name="Text Box 13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60" name="Text Box 14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661" name="Text Box 1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62" name="Text Box 1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663" name="Text Box 1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67" name="Text Box 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68" name="Text Box 108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669" name="Text Box 107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3" name="Text Box 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81" name="Text Box 1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82" name="Text Box 1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83" name="Text Box 19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84" name="Text Box 2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685" name="Text Box 2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0" name="Text Box 108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691" name="Text Box 107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7" name="Text Box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0" name="Text Box 1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1" name="Text Box 1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2" name="Text Box 1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3" name="Text Box 1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4" name="Text Box 1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705" name="Text Box 1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6" name="Text Box 1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07" name="Text Box 1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12" name="Text Box 10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713" name="Text Box 107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19" name="Text Box 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5" name="Text Box 1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6" name="Text Box 18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7" name="Text Box 19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8" name="Text Box 2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29" name="Text Box 2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4" name="Text Box 108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735" name="Text Box 107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7" name="Text Box 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44" name="Text Box 1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45" name="Text Box 1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46" name="Text Box 1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47" name="Text Box 1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48" name="Text Box 1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749" name="Text Box 1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50" name="Text Box 1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51" name="Text Box 1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55" name="Text Box 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56" name="Text Box 10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757" name="Text Box 107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69" name="Text Box 1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70" name="Text Box 1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71" name="Text Box 19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72" name="Text Box 2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773" name="Text Box 2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78" name="Text Box 108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779" name="Text Box 107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88" name="Text Box 1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89" name="Text Box 1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90" name="Text Box 1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91" name="Text Box 1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92" name="Text Box 1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793" name="Text Box 18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94" name="Text Box 1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795" name="Text Box 1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00" name="Text Box 10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801" name="Text Box 107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05" name="Text Box 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488497</xdr:colOff>
      <xdr:row>3700</xdr:row>
      <xdr:rowOff>0</xdr:rowOff>
    </xdr:from>
    <xdr:ext cx="1361" cy="157819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98097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3" name="Text Box 17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4" name="Text Box 1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5" name="Text Box 1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6" name="Text Box 2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17" name="Text Box 2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2" name="Text Box 108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823" name="Text Box 107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2" name="Text Box 1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4" name="Text Box 1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5" name="Text Box 1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6" name="Text Box 14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837" name="Text Box 18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8" name="Text Box 1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39" name="Text Box 1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44" name="Text Box 1080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845" name="Text Box 107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57" name="Text Box 1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58" name="Text Box 1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59" name="Text Box 19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60" name="Text Box 2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61" name="Text Box 2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6" name="Text Box 108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867" name="Text Box 107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76" name="Text Box 1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77" name="Text Box 1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78" name="Text Box 1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79" name="Text Box 1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80" name="Text Box 1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881" name="Text Box 1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82" name="Text Box 1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883" name="Text Box 1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88" name="Text Box 108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889" name="Text Box 107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01" name="Text Box 17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02" name="Text Box 1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03" name="Text Box 19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04" name="Text Box 2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05" name="Text Box 2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09" name="Text Box 3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0" name="Text Box 108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911" name="Text Box 107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7" name="Text Box 3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0" name="Text Box 1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1" name="Text Box 1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2" name="Text Box 1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3" name="Text Box 13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4" name="Text Box 14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925" name="Text Box 18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27" name="Text Box 1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928" name="Text Box 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32" name="Text Box 108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933" name="Text Box 107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36" name="Text Box 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5" name="Text Box 17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6" name="Text Box 1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7" name="Text Box 19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8" name="Text Box 2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49" name="Text Box 2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0" name="Text Box 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4" name="Text Box 108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955" name="Text Box 107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60" name="Text Box 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62" name="Text Box 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64" name="Text Box 1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65" name="Text Box 1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66" name="Text Box 1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67" name="Text Box 1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68" name="Text Box 1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2969" name="Text Box 1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70" name="Text Box 1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2971" name="Text Box 1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76" name="Text Box 10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2977" name="Text Box 107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89" name="Text Box 1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90" name="Text Box 1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91" name="Text Box 19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2993" name="Text Box 2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2998" name="Text Box 1080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2999" name="Text Box 107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08" name="Text Box 1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09" name="Text Box 13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11" name="Text Box 1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3013" name="Text Box 1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14" name="Text Box 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20" name="Text Box 108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3021" name="Text Box 107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3" name="Text Box 17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4" name="Text Box 18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5" name="Text Box 19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6" name="Text Box 2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37" name="Text Box 2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38" name="Text Box 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2" name="Text Box 108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3043" name="Text Box 107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2" name="Text Box 1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3" name="Text Box 1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5" name="Text Box 1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6" name="Text Box 1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3057" name="Text Box 18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8" name="Text Box 1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59" name="Text Box 1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3060" name="Text Box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63" name="Text Box 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64" name="Text Box 108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3065" name="Text Box 107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77" name="Text Box 17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78" name="Text Box 1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79" name="Text Box 19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80" name="Text Box 2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081" name="Text Box 2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6" name="Text Box 1080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3087" name="Text Box 107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90" name="Text Box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96" name="Text Box 1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97" name="Text Box 1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98" name="Text Box 1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099" name="Text Box 1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00" name="Text Box 1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3101" name="Text Box 1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02" name="Text Box 1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03" name="Text Box 1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08" name="Text Box 1080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3109" name="Text Box 107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6" name="Text Box 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21" name="Text Box 17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22" name="Text Box 18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23" name="Text Box 19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24" name="Text Box 2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3700</xdr:row>
      <xdr:rowOff>0</xdr:rowOff>
    </xdr:from>
    <xdr:ext cx="72798" cy="161925"/>
    <xdr:sp macro="" textlink="">
      <xdr:nvSpPr>
        <xdr:cNvPr id="3125" name="Text Box 2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7750" y="713774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29" name="Text Box 3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0" name="Text Box 108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58177"/>
    <xdr:sp macro="" textlink="">
      <xdr:nvSpPr>
        <xdr:cNvPr id="3131" name="Text Box 107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72798" cy="162596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0" name="Text Box 1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1" name="Text Box 13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2" name="Text Box 1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3" name="Text Box 1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4" name="Text Box 1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59204"/>
    <xdr:sp macro="" textlink="">
      <xdr:nvSpPr>
        <xdr:cNvPr id="3145" name="Text Box 1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6" name="Text Box 1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3700</xdr:row>
      <xdr:rowOff>0</xdr:rowOff>
    </xdr:from>
    <xdr:ext cx="169690" cy="161925"/>
    <xdr:sp macro="" textlink="">
      <xdr:nvSpPr>
        <xdr:cNvPr id="3147" name="Text Box 1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066800" y="713774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3700</xdr:row>
      <xdr:rowOff>0</xdr:rowOff>
    </xdr:from>
    <xdr:ext cx="4763" cy="159520"/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045369" y="713774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52" name="Text Box 1080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1903"/>
    <xdr:sp macro="" textlink="">
      <xdr:nvSpPr>
        <xdr:cNvPr id="3153" name="Text Box 107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64284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58" name="Text Box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3700</xdr:row>
      <xdr:rowOff>0</xdr:rowOff>
    </xdr:from>
    <xdr:ext cx="1361" cy="157819"/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057275" y="713774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3701</xdr:row>
      <xdr:rowOff>264000</xdr:rowOff>
    </xdr:to>
    <xdr:sp macro="" textlink="">
      <xdr:nvSpPr>
        <xdr:cNvPr id="3162" name="Text Box 19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64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3701</xdr:row>
      <xdr:rowOff>264001</xdr:rowOff>
    </xdr:to>
    <xdr:sp macro="" textlink="">
      <xdr:nvSpPr>
        <xdr:cNvPr id="3163" name="Text Box 1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64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3700</xdr:row>
      <xdr:rowOff>0</xdr:rowOff>
    </xdr:from>
    <xdr:to>
      <xdr:col>1</xdr:col>
      <xdr:colOff>533400</xdr:colOff>
      <xdr:row>3701</xdr:row>
      <xdr:rowOff>264001</xdr:rowOff>
    </xdr:to>
    <xdr:sp macro="" textlink="">
      <xdr:nvSpPr>
        <xdr:cNvPr id="3164" name="Text Box 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666875" y="713774925"/>
          <a:ext cx="76200" cy="64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GU3728"/>
  <sheetViews>
    <sheetView tabSelected="1" view="pageBreakPreview" zoomScaleNormal="85" zoomScaleSheetLayoutView="100" workbookViewId="0">
      <selection activeCell="B11" sqref="B11"/>
    </sheetView>
  </sheetViews>
  <sheetFormatPr defaultColWidth="9.15234375" defaultRowHeight="14.6" outlineLevelRow="1" x14ac:dyDescent="0.35"/>
  <cols>
    <col min="1" max="1" width="9" style="46" customWidth="1"/>
    <col min="2" max="2" width="92.3046875" style="46" customWidth="1"/>
    <col min="3" max="3" width="13.69140625" style="46" customWidth="1"/>
    <col min="4" max="4" width="20.84375" style="146" customWidth="1"/>
    <col min="5" max="5" width="36.69140625" style="147" customWidth="1"/>
    <col min="6" max="6" width="88.3828125" style="134" customWidth="1"/>
    <col min="7" max="7" width="11.69140625" style="43" customWidth="1"/>
    <col min="8" max="8" width="13" style="44" customWidth="1"/>
    <col min="9" max="9" width="11.69140625" style="43" customWidth="1"/>
    <col min="10" max="10" width="11.84375" style="43" customWidth="1"/>
    <col min="11" max="13" width="11.84375" style="45" customWidth="1"/>
    <col min="14" max="14" width="11.84375" style="44" customWidth="1"/>
    <col min="15" max="15" width="11.84375" style="45" customWidth="1"/>
    <col min="16" max="28" width="9.15234375" style="45"/>
    <col min="29" max="16384" width="9.15234375" style="46"/>
  </cols>
  <sheetData>
    <row r="1" spans="1:28" s="11" customFormat="1" ht="21" customHeight="1" x14ac:dyDescent="0.4">
      <c r="A1" s="4"/>
      <c r="B1" s="5"/>
      <c r="C1" s="6"/>
      <c r="D1" s="7"/>
      <c r="E1" s="169" t="s">
        <v>0</v>
      </c>
      <c r="F1" s="8"/>
      <c r="G1" s="9"/>
      <c r="H1" s="10"/>
      <c r="I1" s="9"/>
      <c r="J1" s="9"/>
      <c r="K1" s="9"/>
      <c r="L1" s="9"/>
      <c r="M1" s="9"/>
      <c r="N1" s="10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s="11" customFormat="1" ht="21" customHeight="1" x14ac:dyDescent="0.4">
      <c r="A2" s="150" t="s">
        <v>1</v>
      </c>
      <c r="B2" s="150"/>
      <c r="C2" s="150"/>
      <c r="D2" s="150"/>
      <c r="E2" s="150"/>
      <c r="F2" s="8"/>
      <c r="G2" s="9"/>
      <c r="H2" s="10"/>
      <c r="I2" s="9"/>
      <c r="J2" s="9"/>
      <c r="K2" s="9"/>
      <c r="L2" s="9"/>
      <c r="M2" s="9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4" customFormat="1" ht="39" customHeight="1" x14ac:dyDescent="0.4">
      <c r="A3" s="151" t="s">
        <v>2</v>
      </c>
      <c r="B3" s="151"/>
      <c r="C3" s="151"/>
      <c r="D3" s="151"/>
      <c r="E3" s="152"/>
      <c r="F3" s="12"/>
      <c r="G3" s="2"/>
      <c r="H3" s="13"/>
      <c r="I3" s="2"/>
      <c r="J3" s="2"/>
      <c r="K3" s="3"/>
      <c r="L3" s="3"/>
      <c r="M3" s="3"/>
      <c r="N3" s="1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" customFormat="1" ht="15.75" customHeight="1" x14ac:dyDescent="0.4">
      <c r="A4" s="148" t="s">
        <v>3</v>
      </c>
      <c r="B4" s="148"/>
      <c r="C4" s="148"/>
      <c r="D4" s="148"/>
      <c r="E4" s="15"/>
      <c r="F4" s="16"/>
      <c r="G4" s="17"/>
    </row>
    <row r="5" spans="1:28" s="1" customFormat="1" ht="15.75" customHeight="1" x14ac:dyDescent="0.4">
      <c r="A5" s="148" t="s">
        <v>4</v>
      </c>
      <c r="B5" s="148"/>
      <c r="C5" s="148"/>
      <c r="D5" s="148"/>
      <c r="E5" s="15"/>
      <c r="F5" s="16"/>
      <c r="G5" s="17"/>
    </row>
    <row r="6" spans="1:28" s="1" customFormat="1" ht="15" customHeight="1" x14ac:dyDescent="0.3">
      <c r="A6" s="149"/>
      <c r="B6" s="149"/>
      <c r="C6" s="149"/>
      <c r="D6" s="149"/>
      <c r="E6" s="15"/>
      <c r="F6" s="16"/>
      <c r="G6" s="17"/>
    </row>
    <row r="7" spans="1:28" s="1" customFormat="1" ht="15" customHeight="1" x14ac:dyDescent="0.4">
      <c r="A7" s="148" t="s">
        <v>5</v>
      </c>
      <c r="B7" s="148"/>
      <c r="C7" s="148"/>
      <c r="D7" s="148"/>
      <c r="E7" s="15"/>
      <c r="F7" s="16"/>
      <c r="G7" s="17"/>
    </row>
    <row r="8" spans="1:28" s="1" customFormat="1" ht="15" customHeight="1" x14ac:dyDescent="0.4">
      <c r="A8" s="18"/>
      <c r="B8" s="18"/>
      <c r="C8" s="18"/>
      <c r="D8" s="18"/>
      <c r="E8" s="15"/>
      <c r="F8" s="16"/>
      <c r="G8" s="17"/>
    </row>
    <row r="9" spans="1:28" s="1" customFormat="1" ht="15" customHeight="1" x14ac:dyDescent="0.4">
      <c r="A9" s="155" t="s">
        <v>6</v>
      </c>
      <c r="B9" s="155"/>
      <c r="C9" s="155"/>
      <c r="D9" s="155"/>
      <c r="E9" s="155"/>
      <c r="F9" s="16"/>
      <c r="G9" s="17"/>
    </row>
    <row r="10" spans="1:28" s="14" customFormat="1" ht="21" customHeight="1" thickBot="1" x14ac:dyDescent="0.45">
      <c r="A10" s="156"/>
      <c r="B10" s="156"/>
      <c r="C10" s="156"/>
      <c r="D10" s="156"/>
      <c r="E10" s="156"/>
      <c r="F10" s="12"/>
      <c r="G10" s="2"/>
      <c r="H10" s="13"/>
      <c r="I10" s="2"/>
      <c r="J10" s="2"/>
      <c r="K10" s="3"/>
      <c r="L10" s="3"/>
      <c r="M10" s="3"/>
      <c r="N10" s="1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14" customFormat="1" ht="51" customHeight="1" x14ac:dyDescent="0.4">
      <c r="A11" s="19" t="s">
        <v>7</v>
      </c>
      <c r="B11" s="20" t="s">
        <v>8</v>
      </c>
      <c r="C11" s="19" t="s">
        <v>9</v>
      </c>
      <c r="D11" s="19" t="s">
        <v>10</v>
      </c>
      <c r="E11" s="20" t="s">
        <v>11</v>
      </c>
      <c r="F11" s="21"/>
      <c r="G11" s="2"/>
      <c r="H11" s="13"/>
      <c r="I11" s="2"/>
      <c r="J11" s="2"/>
      <c r="K11" s="3"/>
      <c r="L11" s="3"/>
      <c r="M11" s="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14" customFormat="1" ht="20.25" customHeight="1" x14ac:dyDescent="0.4">
      <c r="A12" s="22">
        <v>1</v>
      </c>
      <c r="B12" s="23">
        <v>2</v>
      </c>
      <c r="C12" s="22">
        <v>3</v>
      </c>
      <c r="D12" s="23">
        <v>4</v>
      </c>
      <c r="E12" s="22">
        <v>5</v>
      </c>
      <c r="F12" s="21"/>
      <c r="G12" s="2"/>
      <c r="H12" s="13"/>
      <c r="I12" s="2"/>
      <c r="J12" s="2"/>
      <c r="K12" s="3"/>
      <c r="L12" s="3"/>
      <c r="M12" s="3"/>
      <c r="N12" s="1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14" customFormat="1" ht="20.25" customHeight="1" x14ac:dyDescent="0.4">
      <c r="A13" s="153" t="s">
        <v>12</v>
      </c>
      <c r="B13" s="153"/>
      <c r="C13" s="153"/>
      <c r="D13" s="153"/>
      <c r="E13" s="153"/>
      <c r="F13" s="21"/>
      <c r="G13" s="2"/>
      <c r="H13" s="13"/>
      <c r="I13" s="2"/>
      <c r="J13" s="2"/>
      <c r="K13" s="3"/>
      <c r="L13" s="3"/>
      <c r="M13" s="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33" customFormat="1" ht="31" customHeight="1" x14ac:dyDescent="0.35">
      <c r="A14" s="24">
        <v>1</v>
      </c>
      <c r="B14" s="25" t="s">
        <v>13</v>
      </c>
      <c r="C14" s="26" t="s">
        <v>14</v>
      </c>
      <c r="D14" s="27">
        <v>1422.4190000000001</v>
      </c>
      <c r="E14" s="28"/>
      <c r="F14" s="29"/>
      <c r="G14" s="30"/>
      <c r="H14" s="31"/>
      <c r="I14" s="30"/>
      <c r="J14" s="30"/>
      <c r="K14" s="32"/>
      <c r="L14" s="32"/>
      <c r="M14" s="32"/>
      <c r="N14" s="31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s="14" customFormat="1" ht="20.25" customHeight="1" x14ac:dyDescent="0.4">
      <c r="A15" s="157" t="s">
        <v>15</v>
      </c>
      <c r="B15" s="157"/>
      <c r="C15" s="157"/>
      <c r="D15" s="157"/>
      <c r="E15" s="157"/>
      <c r="F15" s="21"/>
      <c r="G15" s="2"/>
      <c r="H15" s="13"/>
      <c r="I15" s="2"/>
      <c r="J15" s="2" t="s">
        <v>16</v>
      </c>
      <c r="K15" s="3"/>
      <c r="L15" s="3"/>
      <c r="M15" s="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14" customFormat="1" ht="30" customHeight="1" x14ac:dyDescent="0.4">
      <c r="A16" s="153" t="s">
        <v>17</v>
      </c>
      <c r="B16" s="153"/>
      <c r="C16" s="153"/>
      <c r="D16" s="153"/>
      <c r="E16" s="153"/>
      <c r="F16" s="21"/>
      <c r="G16" s="2"/>
      <c r="H16" s="13"/>
      <c r="I16" s="2"/>
      <c r="J16" s="2"/>
      <c r="K16" s="3"/>
      <c r="L16" s="3"/>
      <c r="M16" s="3"/>
      <c r="N16" s="1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33" customFormat="1" ht="31" customHeight="1" x14ac:dyDescent="0.35">
      <c r="A17" s="24">
        <f>A14+1</f>
        <v>2</v>
      </c>
      <c r="B17" s="25" t="s">
        <v>18</v>
      </c>
      <c r="C17" s="26" t="s">
        <v>19</v>
      </c>
      <c r="D17" s="26">
        <v>6565</v>
      </c>
      <c r="E17" s="28"/>
      <c r="F17" s="29"/>
      <c r="G17" s="30"/>
      <c r="H17" s="31"/>
      <c r="I17" s="30"/>
      <c r="J17" s="30"/>
      <c r="K17" s="32"/>
      <c r="L17" s="32"/>
      <c r="M17" s="32"/>
      <c r="N17" s="3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s="33" customFormat="1" ht="31" customHeight="1" x14ac:dyDescent="0.35">
      <c r="A18" s="24">
        <f>A17+1</f>
        <v>3</v>
      </c>
      <c r="B18" s="25" t="s">
        <v>20</v>
      </c>
      <c r="C18" s="26" t="s">
        <v>19</v>
      </c>
      <c r="D18" s="26">
        <v>6565</v>
      </c>
      <c r="E18" s="28"/>
      <c r="F18" s="29"/>
      <c r="G18" s="30"/>
      <c r="H18" s="31"/>
      <c r="I18" s="30"/>
      <c r="J18" s="30"/>
      <c r="K18" s="32"/>
      <c r="L18" s="32"/>
      <c r="M18" s="32"/>
      <c r="N18" s="31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s="33" customFormat="1" ht="31" customHeight="1" x14ac:dyDescent="0.35">
      <c r="A19" s="24">
        <f t="shared" ref="A19:A20" si="0">A18+1</f>
        <v>4</v>
      </c>
      <c r="B19" s="25" t="s">
        <v>21</v>
      </c>
      <c r="C19" s="26" t="s">
        <v>14</v>
      </c>
      <c r="D19" s="26">
        <f>1.2*6565</f>
        <v>7878</v>
      </c>
      <c r="E19" s="28"/>
      <c r="F19" s="29"/>
      <c r="G19" s="30"/>
      <c r="H19" s="31"/>
      <c r="I19" s="30"/>
      <c r="J19" s="30"/>
      <c r="K19" s="32"/>
      <c r="L19" s="32"/>
      <c r="M19" s="32"/>
      <c r="N19" s="31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s="33" customFormat="1" ht="31" customHeight="1" x14ac:dyDescent="0.35">
      <c r="A20" s="24">
        <f t="shared" si="0"/>
        <v>5</v>
      </c>
      <c r="B20" s="25" t="s">
        <v>22</v>
      </c>
      <c r="C20" s="26" t="s">
        <v>19</v>
      </c>
      <c r="D20" s="26">
        <v>6565</v>
      </c>
      <c r="E20" s="28"/>
      <c r="F20" s="29"/>
      <c r="G20" s="30"/>
      <c r="H20" s="31"/>
      <c r="I20" s="30"/>
      <c r="J20" s="30" t="s">
        <v>23</v>
      </c>
      <c r="K20" s="32"/>
      <c r="L20" s="32"/>
      <c r="M20" s="32"/>
      <c r="N20" s="31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s="14" customFormat="1" ht="30" customHeight="1" x14ac:dyDescent="0.4">
      <c r="A21" s="153" t="s">
        <v>24</v>
      </c>
      <c r="B21" s="153"/>
      <c r="C21" s="153"/>
      <c r="D21" s="153"/>
      <c r="E21" s="153"/>
      <c r="F21" s="21"/>
      <c r="G21" s="2"/>
      <c r="H21" s="13"/>
      <c r="I21" s="2"/>
      <c r="J21" s="2"/>
      <c r="K21" s="3"/>
      <c r="L21" s="3"/>
      <c r="M21" s="3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33" customFormat="1" ht="31" customHeight="1" x14ac:dyDescent="0.35">
      <c r="A22" s="24">
        <f>A20+1</f>
        <v>6</v>
      </c>
      <c r="B22" s="25" t="s">
        <v>25</v>
      </c>
      <c r="C22" s="26" t="s">
        <v>19</v>
      </c>
      <c r="D22" s="26">
        <v>2452</v>
      </c>
      <c r="E22" s="28"/>
      <c r="F22" s="29"/>
      <c r="G22" s="30"/>
      <c r="H22" s="31"/>
      <c r="I22" s="30"/>
      <c r="J22" s="30"/>
      <c r="K22" s="32"/>
      <c r="L22" s="32"/>
      <c r="M22" s="32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s="33" customFormat="1" ht="31" customHeight="1" x14ac:dyDescent="0.35">
      <c r="A23" s="24">
        <f>A22+1</f>
        <v>7</v>
      </c>
      <c r="B23" s="25" t="s">
        <v>26</v>
      </c>
      <c r="C23" s="26" t="s">
        <v>19</v>
      </c>
      <c r="D23" s="26">
        <v>6847</v>
      </c>
      <c r="E23" s="28"/>
      <c r="F23" s="29"/>
      <c r="G23" s="30"/>
      <c r="H23" s="31"/>
      <c r="I23" s="30"/>
      <c r="J23" s="30"/>
      <c r="K23" s="32"/>
      <c r="L23" s="32"/>
      <c r="M23" s="32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s="33" customFormat="1" ht="31" customHeight="1" x14ac:dyDescent="0.35">
      <c r="A24" s="24">
        <f t="shared" ref="A24:A25" si="1">A23+1</f>
        <v>8</v>
      </c>
      <c r="B24" s="25" t="s">
        <v>27</v>
      </c>
      <c r="C24" s="26" t="s">
        <v>14</v>
      </c>
      <c r="D24" s="26">
        <f>1.7*6847</f>
        <v>11639.9</v>
      </c>
      <c r="E24" s="28"/>
      <c r="F24" s="29"/>
      <c r="G24" s="30"/>
      <c r="H24" s="31"/>
      <c r="I24" s="30"/>
      <c r="J24" s="30"/>
      <c r="K24" s="32"/>
      <c r="L24" s="32"/>
      <c r="M24" s="32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s="33" customFormat="1" ht="31" customHeight="1" x14ac:dyDescent="0.35">
      <c r="A25" s="24">
        <f t="shared" si="1"/>
        <v>9</v>
      </c>
      <c r="B25" s="25" t="s">
        <v>28</v>
      </c>
      <c r="C25" s="26" t="s">
        <v>29</v>
      </c>
      <c r="D25" s="26">
        <v>14590</v>
      </c>
      <c r="E25" s="28"/>
      <c r="F25" s="29"/>
      <c r="G25" s="30"/>
      <c r="H25" s="31"/>
      <c r="I25" s="30"/>
      <c r="J25" s="30"/>
      <c r="K25" s="32"/>
      <c r="L25" s="32"/>
      <c r="M25" s="32"/>
      <c r="N25" s="31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s="33" customFormat="1" ht="31" customHeight="1" x14ac:dyDescent="0.35">
      <c r="A26" s="24">
        <f>A25+1</f>
        <v>10</v>
      </c>
      <c r="B26" s="25" t="s">
        <v>30</v>
      </c>
      <c r="C26" s="26" t="s">
        <v>19</v>
      </c>
      <c r="D26" s="26">
        <v>8261.9</v>
      </c>
      <c r="E26" s="28"/>
      <c r="F26" s="29"/>
      <c r="G26" s="30"/>
      <c r="H26" s="31"/>
      <c r="I26" s="30"/>
      <c r="J26" s="30"/>
      <c r="K26" s="32"/>
      <c r="L26" s="32"/>
      <c r="M26" s="32"/>
      <c r="N26" s="31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s="33" customFormat="1" ht="31" customHeight="1" x14ac:dyDescent="0.35">
      <c r="A27" s="24">
        <f>A26+1</f>
        <v>11</v>
      </c>
      <c r="B27" s="25" t="s">
        <v>31</v>
      </c>
      <c r="C27" s="26" t="s">
        <v>19</v>
      </c>
      <c r="D27" s="26">
        <v>1037.0999999999999</v>
      </c>
      <c r="E27" s="28"/>
      <c r="F27" s="29"/>
      <c r="G27" s="30"/>
      <c r="H27" s="31"/>
      <c r="I27" s="30"/>
      <c r="J27" s="30"/>
      <c r="K27" s="32"/>
      <c r="L27" s="32"/>
      <c r="M27" s="32"/>
      <c r="N27" s="3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s="14" customFormat="1" ht="30" customHeight="1" x14ac:dyDescent="0.4">
      <c r="A28" s="153" t="s">
        <v>32</v>
      </c>
      <c r="B28" s="153"/>
      <c r="C28" s="153"/>
      <c r="D28" s="153"/>
      <c r="E28" s="153"/>
      <c r="F28" s="21"/>
      <c r="G28" s="2"/>
      <c r="H28" s="13"/>
      <c r="I28" s="2"/>
      <c r="J28" s="2"/>
      <c r="K28" s="3"/>
      <c r="L28" s="3"/>
      <c r="M28" s="3"/>
      <c r="N28" s="1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39" customFormat="1" ht="21" customHeight="1" x14ac:dyDescent="0.35">
      <c r="A29" s="154" t="s">
        <v>33</v>
      </c>
      <c r="B29" s="154"/>
      <c r="C29" s="154"/>
      <c r="D29" s="154"/>
      <c r="E29" s="154"/>
      <c r="F29" s="34"/>
      <c r="G29" s="35"/>
      <c r="H29" s="36"/>
      <c r="I29" s="37"/>
      <c r="J29" s="37"/>
      <c r="K29" s="38"/>
      <c r="L29" s="38"/>
      <c r="M29" s="38"/>
      <c r="N29" s="36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30" customHeight="1" x14ac:dyDescent="0.35">
      <c r="A30" s="24">
        <f>A27+1</f>
        <v>12</v>
      </c>
      <c r="B30" s="25" t="s">
        <v>34</v>
      </c>
      <c r="C30" s="26" t="s">
        <v>35</v>
      </c>
      <c r="D30" s="40" t="s">
        <v>36</v>
      </c>
      <c r="E30" s="41"/>
      <c r="F30" s="42"/>
    </row>
    <row r="31" spans="1:28" ht="31" hidden="1" customHeight="1" outlineLevel="1" x14ac:dyDescent="0.35">
      <c r="A31" s="47"/>
      <c r="B31" s="48" t="s">
        <v>37</v>
      </c>
      <c r="C31" s="49" t="s">
        <v>19</v>
      </c>
      <c r="D31" s="50">
        <f>108.2</f>
        <v>108.2</v>
      </c>
      <c r="E31" s="51"/>
      <c r="F31" s="42"/>
    </row>
    <row r="32" spans="1:28" s="33" customFormat="1" ht="31" customHeight="1" collapsed="1" x14ac:dyDescent="0.35">
      <c r="A32" s="24">
        <f>A30+1</f>
        <v>13</v>
      </c>
      <c r="B32" s="25" t="s">
        <v>38</v>
      </c>
      <c r="C32" s="26" t="s">
        <v>29</v>
      </c>
      <c r="D32" s="26">
        <v>1082</v>
      </c>
      <c r="E32" s="28"/>
      <c r="F32" s="29"/>
      <c r="G32" s="30"/>
      <c r="H32" s="31"/>
      <c r="I32" s="30"/>
      <c r="J32" s="30"/>
      <c r="K32" s="32"/>
      <c r="L32" s="32"/>
      <c r="M32" s="32"/>
      <c r="N32" s="31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31" hidden="1" customHeight="1" outlineLevel="1" x14ac:dyDescent="0.35">
      <c r="A33" s="47"/>
      <c r="B33" s="48" t="s">
        <v>39</v>
      </c>
      <c r="C33" s="49" t="s">
        <v>19</v>
      </c>
      <c r="D33" s="52">
        <f>204.49+68.17</f>
        <v>272.66000000000003</v>
      </c>
      <c r="E33" s="51"/>
      <c r="F33" s="42"/>
    </row>
    <row r="34" spans="1:28" ht="31" hidden="1" customHeight="1" outlineLevel="1" x14ac:dyDescent="0.35">
      <c r="A34" s="47"/>
      <c r="B34" s="48" t="s">
        <v>40</v>
      </c>
      <c r="C34" s="49" t="s">
        <v>19</v>
      </c>
      <c r="D34" s="52">
        <v>16.23</v>
      </c>
      <c r="E34" s="51"/>
      <c r="F34" s="42"/>
    </row>
    <row r="35" spans="1:28" s="39" customFormat="1" ht="21" customHeight="1" collapsed="1" x14ac:dyDescent="0.35">
      <c r="A35" s="154" t="s">
        <v>41</v>
      </c>
      <c r="B35" s="154"/>
      <c r="C35" s="154"/>
      <c r="D35" s="154"/>
      <c r="E35" s="154"/>
      <c r="F35" s="34"/>
      <c r="G35" s="35"/>
      <c r="H35" s="36"/>
      <c r="I35" s="37"/>
      <c r="J35" s="37"/>
      <c r="K35" s="38"/>
      <c r="L35" s="38"/>
      <c r="M35" s="38"/>
      <c r="N35" s="36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33" customFormat="1" ht="31" customHeight="1" x14ac:dyDescent="0.35">
      <c r="A36" s="24">
        <f>A32+1</f>
        <v>14</v>
      </c>
      <c r="B36" s="25" t="s">
        <v>42</v>
      </c>
      <c r="C36" s="26" t="s">
        <v>29</v>
      </c>
      <c r="D36" s="26">
        <v>383</v>
      </c>
      <c r="E36" s="28"/>
      <c r="F36" s="29"/>
      <c r="G36" s="30"/>
      <c r="H36" s="31"/>
      <c r="I36" s="30"/>
      <c r="J36" s="30"/>
      <c r="K36" s="32"/>
      <c r="L36" s="32"/>
      <c r="M36" s="32"/>
      <c r="N36" s="31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31" hidden="1" customHeight="1" outlineLevel="1" x14ac:dyDescent="0.35">
      <c r="A37" s="47"/>
      <c r="B37" s="48" t="s">
        <v>39</v>
      </c>
      <c r="C37" s="49" t="s">
        <v>19</v>
      </c>
      <c r="D37" s="52">
        <v>96.13</v>
      </c>
      <c r="E37" s="51"/>
      <c r="F37" s="42"/>
    </row>
    <row r="38" spans="1:28" ht="31" hidden="1" customHeight="1" outlineLevel="1" x14ac:dyDescent="0.35">
      <c r="A38" s="47"/>
      <c r="B38" s="48" t="s">
        <v>40</v>
      </c>
      <c r="C38" s="49" t="s">
        <v>19</v>
      </c>
      <c r="D38" s="52">
        <f>5.75+3.83</f>
        <v>9.58</v>
      </c>
      <c r="E38" s="51"/>
      <c r="F38" s="42"/>
    </row>
    <row r="39" spans="1:28" s="39" customFormat="1" ht="21" customHeight="1" collapsed="1" x14ac:dyDescent="0.35">
      <c r="A39" s="154" t="s">
        <v>43</v>
      </c>
      <c r="B39" s="154"/>
      <c r="C39" s="154"/>
      <c r="D39" s="154"/>
      <c r="E39" s="154"/>
      <c r="F39" s="34"/>
      <c r="G39" s="35"/>
      <c r="H39" s="36"/>
      <c r="I39" s="37"/>
      <c r="J39" s="37"/>
      <c r="K39" s="38"/>
      <c r="L39" s="38"/>
      <c r="M39" s="38"/>
      <c r="N39" s="36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s="33" customFormat="1" ht="31" customHeight="1" x14ac:dyDescent="0.35">
      <c r="A40" s="24">
        <f>A36+1</f>
        <v>15</v>
      </c>
      <c r="B40" s="25" t="s">
        <v>44</v>
      </c>
      <c r="C40" s="26" t="s">
        <v>29</v>
      </c>
      <c r="D40" s="26">
        <v>160</v>
      </c>
      <c r="E40" s="28"/>
      <c r="F40" s="29"/>
      <c r="G40" s="30"/>
      <c r="H40" s="31"/>
      <c r="I40" s="30"/>
      <c r="J40" s="30"/>
      <c r="K40" s="32"/>
      <c r="L40" s="32"/>
      <c r="M40" s="32"/>
      <c r="N40" s="31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31" hidden="1" customHeight="1" outlineLevel="1" x14ac:dyDescent="0.35">
      <c r="A41" s="47"/>
      <c r="B41" s="48" t="s">
        <v>39</v>
      </c>
      <c r="C41" s="49" t="s">
        <v>19</v>
      </c>
      <c r="D41" s="52">
        <f>40.16+20.16</f>
        <v>60.319999999999993</v>
      </c>
      <c r="E41" s="51"/>
      <c r="F41" s="42"/>
    </row>
    <row r="42" spans="1:28" ht="31" hidden="1" customHeight="1" outlineLevel="1" x14ac:dyDescent="0.35">
      <c r="A42" s="47"/>
      <c r="B42" s="48" t="s">
        <v>40</v>
      </c>
      <c r="C42" s="49" t="s">
        <v>19</v>
      </c>
      <c r="D42" s="52">
        <f>2.4+1.6</f>
        <v>4</v>
      </c>
      <c r="E42" s="51"/>
      <c r="F42" s="42"/>
    </row>
    <row r="43" spans="1:28" s="39" customFormat="1" ht="21" customHeight="1" collapsed="1" x14ac:dyDescent="0.35">
      <c r="A43" s="154" t="s">
        <v>45</v>
      </c>
      <c r="B43" s="154"/>
      <c r="C43" s="154"/>
      <c r="D43" s="154"/>
      <c r="E43" s="154"/>
      <c r="F43" s="34"/>
      <c r="G43" s="35"/>
      <c r="H43" s="36"/>
      <c r="I43" s="37"/>
      <c r="J43" s="37"/>
      <c r="K43" s="38"/>
      <c r="L43" s="38"/>
      <c r="M43" s="38"/>
      <c r="N43" s="36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s="33" customFormat="1" ht="31" customHeight="1" x14ac:dyDescent="0.35">
      <c r="A44" s="24">
        <f>A40+1</f>
        <v>16</v>
      </c>
      <c r="B44" s="25" t="s">
        <v>44</v>
      </c>
      <c r="C44" s="26" t="s">
        <v>29</v>
      </c>
      <c r="D44" s="26">
        <v>1934</v>
      </c>
      <c r="E44" s="28"/>
      <c r="F44" s="29"/>
      <c r="G44" s="30"/>
      <c r="H44" s="31"/>
      <c r="I44" s="30"/>
      <c r="J44" s="30"/>
      <c r="K44" s="32"/>
      <c r="L44" s="32"/>
      <c r="M44" s="32"/>
      <c r="N44" s="31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31" hidden="1" customHeight="1" outlineLevel="1" x14ac:dyDescent="0.35">
      <c r="A45" s="47"/>
      <c r="B45" s="48" t="s">
        <v>39</v>
      </c>
      <c r="C45" s="49" t="s">
        <v>19</v>
      </c>
      <c r="D45" s="52">
        <f>485.43+243.68</f>
        <v>729.11</v>
      </c>
      <c r="E45" s="51"/>
      <c r="F45" s="42"/>
    </row>
    <row r="46" spans="1:28" ht="31" hidden="1" customHeight="1" outlineLevel="1" x14ac:dyDescent="0.35">
      <c r="A46" s="47"/>
      <c r="B46" s="48" t="s">
        <v>40</v>
      </c>
      <c r="C46" s="49" t="s">
        <v>19</v>
      </c>
      <c r="D46" s="52">
        <f>29.01+19.34</f>
        <v>48.35</v>
      </c>
      <c r="E46" s="51"/>
      <c r="F46" s="42"/>
    </row>
    <row r="47" spans="1:28" s="39" customFormat="1" ht="21" customHeight="1" collapsed="1" x14ac:dyDescent="0.35">
      <c r="A47" s="154" t="s">
        <v>46</v>
      </c>
      <c r="B47" s="154"/>
      <c r="C47" s="154"/>
      <c r="D47" s="154"/>
      <c r="E47" s="154"/>
      <c r="F47" s="34"/>
      <c r="G47" s="35"/>
      <c r="H47" s="36"/>
      <c r="I47" s="37"/>
      <c r="J47" s="37"/>
      <c r="K47" s="38"/>
      <c r="L47" s="38"/>
      <c r="M47" s="38"/>
      <c r="N47" s="36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s="33" customFormat="1" ht="31" customHeight="1" x14ac:dyDescent="0.35">
      <c r="A48" s="24">
        <f>A44+1</f>
        <v>17</v>
      </c>
      <c r="B48" s="25" t="s">
        <v>47</v>
      </c>
      <c r="C48" s="26" t="s">
        <v>29</v>
      </c>
      <c r="D48" s="26">
        <v>80</v>
      </c>
      <c r="E48" s="28"/>
      <c r="F48" s="29"/>
      <c r="G48" s="30"/>
      <c r="H48" s="31"/>
      <c r="I48" s="30"/>
      <c r="J48" s="30"/>
      <c r="K48" s="32"/>
      <c r="L48" s="32"/>
      <c r="M48" s="32"/>
      <c r="N48" s="31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31" hidden="1" customHeight="1" outlineLevel="1" x14ac:dyDescent="0.35">
      <c r="A49" s="47"/>
      <c r="B49" s="48" t="s">
        <v>39</v>
      </c>
      <c r="C49" s="49" t="s">
        <v>19</v>
      </c>
      <c r="D49" s="52">
        <v>20.079999999999998</v>
      </c>
      <c r="E49" s="51"/>
      <c r="F49" s="42"/>
    </row>
    <row r="50" spans="1:28" ht="31" hidden="1" customHeight="1" outlineLevel="1" x14ac:dyDescent="0.35">
      <c r="A50" s="47"/>
      <c r="B50" s="48" t="s">
        <v>40</v>
      </c>
      <c r="C50" s="49" t="s">
        <v>19</v>
      </c>
      <c r="D50" s="52">
        <f>1.2+0.8</f>
        <v>2</v>
      </c>
      <c r="E50" s="51"/>
      <c r="F50" s="42"/>
    </row>
    <row r="51" spans="1:28" s="39" customFormat="1" ht="30" customHeight="1" collapsed="1" x14ac:dyDescent="0.35">
      <c r="A51" s="153" t="s">
        <v>48</v>
      </c>
      <c r="B51" s="153"/>
      <c r="C51" s="153"/>
      <c r="D51" s="153"/>
      <c r="E51" s="153"/>
      <c r="F51" s="34"/>
      <c r="G51" s="35"/>
      <c r="H51" s="36"/>
      <c r="I51" s="37"/>
      <c r="J51" s="37"/>
      <c r="K51" s="38"/>
      <c r="L51" s="38"/>
      <c r="M51" s="38"/>
      <c r="N51" s="36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s="39" customFormat="1" ht="21" customHeight="1" x14ac:dyDescent="0.35">
      <c r="A52" s="158" t="s">
        <v>49</v>
      </c>
      <c r="B52" s="158"/>
      <c r="C52" s="158"/>
      <c r="D52" s="158"/>
      <c r="E52" s="158"/>
      <c r="F52" s="34"/>
      <c r="G52" s="35"/>
      <c r="H52" s="36"/>
      <c r="I52" s="37"/>
      <c r="J52" s="37"/>
      <c r="K52" s="38"/>
      <c r="L52" s="38"/>
      <c r="M52" s="38"/>
      <c r="N52" s="36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 s="39" customFormat="1" ht="21" customHeight="1" x14ac:dyDescent="0.35">
      <c r="A53" s="154" t="s">
        <v>50</v>
      </c>
      <c r="B53" s="154"/>
      <c r="C53" s="154"/>
      <c r="D53" s="154"/>
      <c r="E53" s="154"/>
      <c r="F53" s="34"/>
      <c r="G53" s="35"/>
      <c r="H53" s="36"/>
      <c r="I53" s="37"/>
      <c r="J53" s="37"/>
      <c r="K53" s="38"/>
      <c r="L53" s="38"/>
      <c r="M53" s="38"/>
      <c r="N53" s="36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ht="30" customHeight="1" x14ac:dyDescent="0.35">
      <c r="A54" s="24">
        <f>A48+1</f>
        <v>18</v>
      </c>
      <c r="B54" s="25" t="s">
        <v>51</v>
      </c>
      <c r="C54" s="26" t="s">
        <v>19</v>
      </c>
      <c r="D54" s="40">
        <v>17.399999999999999</v>
      </c>
      <c r="E54" s="41"/>
      <c r="F54" s="42"/>
    </row>
    <row r="55" spans="1:28" ht="31" hidden="1" customHeight="1" outlineLevel="1" x14ac:dyDescent="0.35">
      <c r="A55" s="47"/>
      <c r="B55" s="48" t="s">
        <v>52</v>
      </c>
      <c r="C55" s="49" t="s">
        <v>19</v>
      </c>
      <c r="D55" s="50">
        <f>17.4</f>
        <v>17.399999999999999</v>
      </c>
      <c r="E55" s="51"/>
      <c r="F55" s="42"/>
    </row>
    <row r="56" spans="1:28" ht="30" customHeight="1" collapsed="1" x14ac:dyDescent="0.35">
      <c r="A56" s="24">
        <f>A54+1</f>
        <v>19</v>
      </c>
      <c r="B56" s="25" t="s">
        <v>53</v>
      </c>
      <c r="C56" s="26" t="s">
        <v>19</v>
      </c>
      <c r="D56" s="40">
        <v>3.1</v>
      </c>
      <c r="E56" s="41"/>
      <c r="F56" s="42"/>
    </row>
    <row r="57" spans="1:28" ht="31" hidden="1" customHeight="1" outlineLevel="1" x14ac:dyDescent="0.35">
      <c r="A57" s="47"/>
      <c r="B57" s="48" t="s">
        <v>37</v>
      </c>
      <c r="C57" s="49" t="s">
        <v>19</v>
      </c>
      <c r="D57" s="50">
        <f>3.1</f>
        <v>3.1</v>
      </c>
      <c r="E57" s="51"/>
      <c r="F57" s="42"/>
    </row>
    <row r="58" spans="1:28" ht="33" customHeight="1" collapsed="1" x14ac:dyDescent="0.35">
      <c r="A58" s="24">
        <f>A56+1</f>
        <v>20</v>
      </c>
      <c r="B58" s="25" t="s">
        <v>54</v>
      </c>
      <c r="C58" s="26" t="s">
        <v>55</v>
      </c>
      <c r="D58" s="40" t="s">
        <v>56</v>
      </c>
      <c r="E58" s="41"/>
      <c r="F58" s="53"/>
    </row>
    <row r="59" spans="1:28" s="58" customFormat="1" ht="30" hidden="1" customHeight="1" outlineLevel="1" x14ac:dyDescent="0.4">
      <c r="A59" s="54"/>
      <c r="B59" s="48" t="s">
        <v>57</v>
      </c>
      <c r="C59" s="49" t="s">
        <v>58</v>
      </c>
      <c r="D59" s="55">
        <v>4</v>
      </c>
      <c r="E59" s="56">
        <v>16.8</v>
      </c>
      <c r="F59" s="57"/>
    </row>
    <row r="60" spans="1:28" s="39" customFormat="1" ht="21" customHeight="1" collapsed="1" x14ac:dyDescent="0.35">
      <c r="A60" s="154" t="s">
        <v>59</v>
      </c>
      <c r="B60" s="154"/>
      <c r="C60" s="154"/>
      <c r="D60" s="154"/>
      <c r="E60" s="154"/>
      <c r="F60" s="34"/>
      <c r="G60" s="35"/>
      <c r="H60" s="36"/>
      <c r="I60" s="37"/>
      <c r="J60" s="37"/>
      <c r="K60" s="38"/>
      <c r="L60" s="38"/>
      <c r="M60" s="38"/>
      <c r="N60" s="36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8" ht="30" customHeight="1" x14ac:dyDescent="0.35">
      <c r="A61" s="24">
        <f>A58+1</f>
        <v>21</v>
      </c>
      <c r="B61" s="25" t="s">
        <v>51</v>
      </c>
      <c r="C61" s="26" t="s">
        <v>19</v>
      </c>
      <c r="D61" s="40">
        <v>17.399999999999999</v>
      </c>
      <c r="E61" s="41"/>
      <c r="F61" s="42"/>
    </row>
    <row r="62" spans="1:28" ht="31" hidden="1" customHeight="1" outlineLevel="1" x14ac:dyDescent="0.35">
      <c r="A62" s="47"/>
      <c r="B62" s="48" t="s">
        <v>52</v>
      </c>
      <c r="C62" s="49" t="s">
        <v>19</v>
      </c>
      <c r="D62" s="50">
        <f>17.4</f>
        <v>17.399999999999999</v>
      </c>
      <c r="E62" s="51"/>
      <c r="F62" s="42"/>
    </row>
    <row r="63" spans="1:28" ht="30" customHeight="1" collapsed="1" x14ac:dyDescent="0.35">
      <c r="A63" s="24">
        <f>A61+1</f>
        <v>22</v>
      </c>
      <c r="B63" s="25" t="s">
        <v>53</v>
      </c>
      <c r="C63" s="26" t="s">
        <v>19</v>
      </c>
      <c r="D63" s="40">
        <v>3.1</v>
      </c>
      <c r="E63" s="41"/>
      <c r="F63" s="42"/>
    </row>
    <row r="64" spans="1:28" ht="31" hidden="1" customHeight="1" outlineLevel="1" x14ac:dyDescent="0.35">
      <c r="A64" s="47"/>
      <c r="B64" s="48" t="s">
        <v>52</v>
      </c>
      <c r="C64" s="49" t="s">
        <v>19</v>
      </c>
      <c r="D64" s="50">
        <f>3.1</f>
        <v>3.1</v>
      </c>
      <c r="E64" s="51"/>
      <c r="F64" s="42"/>
    </row>
    <row r="65" spans="1:28" ht="33" customHeight="1" collapsed="1" x14ac:dyDescent="0.35">
      <c r="A65" s="24">
        <f>A63+1</f>
        <v>23</v>
      </c>
      <c r="B65" s="25" t="s">
        <v>54</v>
      </c>
      <c r="C65" s="26" t="s">
        <v>55</v>
      </c>
      <c r="D65" s="40" t="s">
        <v>56</v>
      </c>
      <c r="E65" s="41"/>
      <c r="F65" s="53"/>
    </row>
    <row r="66" spans="1:28" s="58" customFormat="1" ht="30" hidden="1" customHeight="1" outlineLevel="1" x14ac:dyDescent="0.4">
      <c r="A66" s="54"/>
      <c r="B66" s="48" t="s">
        <v>57</v>
      </c>
      <c r="C66" s="49" t="s">
        <v>58</v>
      </c>
      <c r="D66" s="55">
        <v>4</v>
      </c>
      <c r="E66" s="56">
        <v>16.8</v>
      </c>
      <c r="F66" s="57"/>
    </row>
    <row r="67" spans="1:28" s="39" customFormat="1" ht="21" customHeight="1" collapsed="1" x14ac:dyDescent="0.35">
      <c r="A67" s="154" t="s">
        <v>60</v>
      </c>
      <c r="B67" s="154"/>
      <c r="C67" s="154"/>
      <c r="D67" s="154"/>
      <c r="E67" s="154"/>
      <c r="F67" s="34"/>
      <c r="G67" s="35"/>
      <c r="H67" s="36"/>
      <c r="I67" s="37"/>
      <c r="J67" s="37"/>
      <c r="K67" s="38"/>
      <c r="L67" s="38"/>
      <c r="M67" s="38"/>
      <c r="N67" s="36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1:28" ht="30" customHeight="1" x14ac:dyDescent="0.35">
      <c r="A68" s="24">
        <f>A65+1</f>
        <v>24</v>
      </c>
      <c r="B68" s="59" t="s">
        <v>61</v>
      </c>
      <c r="C68" s="60" t="s">
        <v>62</v>
      </c>
      <c r="D68" s="61" t="s">
        <v>63</v>
      </c>
      <c r="E68" s="41"/>
      <c r="F68" s="42"/>
    </row>
    <row r="69" spans="1:28" ht="33" customHeight="1" x14ac:dyDescent="0.35">
      <c r="A69" s="24">
        <f>A68+1</f>
        <v>25</v>
      </c>
      <c r="B69" s="25" t="s">
        <v>64</v>
      </c>
      <c r="C69" s="26" t="s">
        <v>19</v>
      </c>
      <c r="D69" s="62">
        <v>0.22</v>
      </c>
      <c r="E69" s="41"/>
      <c r="F69" s="53"/>
    </row>
    <row r="70" spans="1:28" s="58" customFormat="1" ht="30" hidden="1" customHeight="1" outlineLevel="1" x14ac:dyDescent="0.4">
      <c r="A70" s="54"/>
      <c r="B70" s="48" t="s">
        <v>65</v>
      </c>
      <c r="C70" s="49" t="s">
        <v>19</v>
      </c>
      <c r="D70" s="63">
        <f>0.22</f>
        <v>0.22</v>
      </c>
      <c r="E70" s="51"/>
      <c r="F70" s="57"/>
    </row>
    <row r="71" spans="1:28" s="39" customFormat="1" ht="36" customHeight="1" collapsed="1" x14ac:dyDescent="0.35">
      <c r="A71" s="24">
        <f>A69+1</f>
        <v>26</v>
      </c>
      <c r="B71" s="25" t="s">
        <v>66</v>
      </c>
      <c r="C71" s="26" t="s">
        <v>67</v>
      </c>
      <c r="D71" s="40" t="s">
        <v>68</v>
      </c>
      <c r="E71" s="64"/>
      <c r="F71" s="34"/>
      <c r="G71" s="35"/>
      <c r="H71" s="36"/>
      <c r="I71" s="37"/>
      <c r="J71" s="37"/>
      <c r="K71" s="38"/>
      <c r="L71" s="38"/>
      <c r="M71" s="38"/>
      <c r="N71" s="36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1:28" s="58" customFormat="1" ht="30" hidden="1" customHeight="1" outlineLevel="1" x14ac:dyDescent="0.4">
      <c r="A72" s="54"/>
      <c r="B72" s="48" t="s">
        <v>69</v>
      </c>
      <c r="C72" s="49" t="s">
        <v>14</v>
      </c>
      <c r="D72" s="65">
        <f>45.56/1000</f>
        <v>4.5560000000000003E-2</v>
      </c>
      <c r="E72" s="51"/>
      <c r="F72" s="57"/>
    </row>
    <row r="73" spans="1:28" s="58" customFormat="1" ht="30" hidden="1" customHeight="1" outlineLevel="1" x14ac:dyDescent="0.4">
      <c r="A73" s="54"/>
      <c r="B73" s="48" t="s">
        <v>70</v>
      </c>
      <c r="C73" s="49" t="s">
        <v>14</v>
      </c>
      <c r="D73" s="65">
        <f>(3.14+7.07)/1000</f>
        <v>1.021E-2</v>
      </c>
      <c r="E73" s="51"/>
      <c r="F73" s="57"/>
    </row>
    <row r="74" spans="1:28" s="58" customFormat="1" ht="30" customHeight="1" collapsed="1" x14ac:dyDescent="0.4">
      <c r="A74" s="24">
        <f>A71+1</f>
        <v>27</v>
      </c>
      <c r="B74" s="59" t="s">
        <v>71</v>
      </c>
      <c r="C74" s="26" t="s">
        <v>14</v>
      </c>
      <c r="D74" s="40">
        <v>5.6000000000000001E-2</v>
      </c>
      <c r="E74" s="66"/>
      <c r="F74" s="57"/>
    </row>
    <row r="75" spans="1:28" ht="36" customHeight="1" x14ac:dyDescent="0.35">
      <c r="A75" s="24">
        <f>A74+1</f>
        <v>28</v>
      </c>
      <c r="B75" s="59" t="s">
        <v>72</v>
      </c>
      <c r="C75" s="26" t="s">
        <v>29</v>
      </c>
      <c r="D75" s="67">
        <f>((0.114*3.14*0.54)+(0.3*0.3*2))*1</f>
        <v>0.37329840000000003</v>
      </c>
      <c r="E75" s="41"/>
      <c r="F75" s="42"/>
    </row>
    <row r="76" spans="1:28" s="58" customFormat="1" ht="30" hidden="1" customHeight="1" outlineLevel="1" x14ac:dyDescent="0.4">
      <c r="A76" s="54"/>
      <c r="B76" s="48" t="s">
        <v>73</v>
      </c>
      <c r="C76" s="49" t="s">
        <v>74</v>
      </c>
      <c r="D76" s="68">
        <f>3.31*0.4</f>
        <v>1.3240000000000001</v>
      </c>
      <c r="E76" s="69">
        <v>1E-3</v>
      </c>
      <c r="F76" s="57"/>
    </row>
    <row r="77" spans="1:28" ht="36" customHeight="1" collapsed="1" x14ac:dyDescent="0.35">
      <c r="A77" s="24">
        <f>A75+1</f>
        <v>29</v>
      </c>
      <c r="B77" s="59" t="s">
        <v>75</v>
      </c>
      <c r="C77" s="26" t="s">
        <v>29</v>
      </c>
      <c r="D77" s="67">
        <f>((0.114*3.14*0.54)+(0.3*0.3*2))*1</f>
        <v>0.37329840000000003</v>
      </c>
      <c r="E77" s="41"/>
      <c r="F77" s="42"/>
    </row>
    <row r="78" spans="1:28" ht="36" customHeight="1" x14ac:dyDescent="0.35">
      <c r="A78" s="24">
        <f>A77+1</f>
        <v>30</v>
      </c>
      <c r="B78" s="59" t="s">
        <v>76</v>
      </c>
      <c r="C78" s="26" t="s">
        <v>29</v>
      </c>
      <c r="D78" s="67">
        <f>((0.114*3.14*0.54)+(0.3*0.3*2))*1</f>
        <v>0.37329840000000003</v>
      </c>
      <c r="E78" s="41"/>
      <c r="F78" s="42"/>
    </row>
    <row r="79" spans="1:28" s="58" customFormat="1" ht="30" customHeight="1" x14ac:dyDescent="0.4">
      <c r="A79" s="24">
        <f>A78+1</f>
        <v>31</v>
      </c>
      <c r="B79" s="59" t="s">
        <v>77</v>
      </c>
      <c r="C79" s="70" t="s">
        <v>29</v>
      </c>
      <c r="D79" s="67">
        <f>((0.114*3.14*0.54)+(0.3*0.3*2))*1</f>
        <v>0.37329840000000003</v>
      </c>
      <c r="E79" s="66"/>
      <c r="F79" s="57"/>
    </row>
    <row r="80" spans="1:28" s="58" customFormat="1" ht="30" hidden="1" customHeight="1" outlineLevel="1" x14ac:dyDescent="0.4">
      <c r="A80" s="54"/>
      <c r="B80" s="48" t="s">
        <v>78</v>
      </c>
      <c r="C80" s="49" t="s">
        <v>74</v>
      </c>
      <c r="D80" s="68">
        <f>0.4*0.255</f>
        <v>0.10200000000000001</v>
      </c>
      <c r="E80" s="69">
        <v>1E-3</v>
      </c>
      <c r="F80" s="57"/>
    </row>
    <row r="81" spans="1:28" s="58" customFormat="1" ht="30" customHeight="1" collapsed="1" x14ac:dyDescent="0.4">
      <c r="A81" s="24">
        <f>A79+1</f>
        <v>32</v>
      </c>
      <c r="B81" s="59" t="s">
        <v>79</v>
      </c>
      <c r="C81" s="70" t="s">
        <v>29</v>
      </c>
      <c r="D81" s="67">
        <f>((0.114*3.14*0.54)+(0.3*0.3*2))*1</f>
        <v>0.37329840000000003</v>
      </c>
      <c r="E81" s="66"/>
      <c r="F81" s="57"/>
    </row>
    <row r="82" spans="1:28" s="58" customFormat="1" ht="30" hidden="1" customHeight="1" outlineLevel="1" x14ac:dyDescent="0.4">
      <c r="A82" s="54"/>
      <c r="B82" s="48" t="s">
        <v>80</v>
      </c>
      <c r="C82" s="49" t="s">
        <v>74</v>
      </c>
      <c r="D82" s="68">
        <f>0.4*0.36*2</f>
        <v>0.28799999999999998</v>
      </c>
      <c r="E82" s="69"/>
      <c r="F82" s="57"/>
    </row>
    <row r="83" spans="1:28" s="39" customFormat="1" ht="30" customHeight="1" collapsed="1" x14ac:dyDescent="0.35">
      <c r="A83" s="153" t="s">
        <v>81</v>
      </c>
      <c r="B83" s="153"/>
      <c r="C83" s="153"/>
      <c r="D83" s="153"/>
      <c r="E83" s="153"/>
      <c r="F83" s="34"/>
      <c r="G83" s="35"/>
      <c r="H83" s="36"/>
      <c r="I83" s="37"/>
      <c r="J83" s="37"/>
      <c r="K83" s="38"/>
      <c r="L83" s="38"/>
      <c r="M83" s="38"/>
      <c r="N83" s="36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:28" s="39" customFormat="1" ht="21" customHeight="1" x14ac:dyDescent="0.35">
      <c r="A84" s="158" t="s">
        <v>82</v>
      </c>
      <c r="B84" s="158"/>
      <c r="C84" s="158"/>
      <c r="D84" s="158"/>
      <c r="E84" s="158"/>
      <c r="F84" s="34"/>
      <c r="G84" s="35"/>
      <c r="H84" s="36"/>
      <c r="I84" s="37"/>
      <c r="J84" s="37"/>
      <c r="K84" s="38"/>
      <c r="L84" s="38"/>
      <c r="M84" s="38"/>
      <c r="N84" s="36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:28" ht="30" customHeight="1" x14ac:dyDescent="0.35">
      <c r="A85" s="24">
        <f>A81+1</f>
        <v>33</v>
      </c>
      <c r="B85" s="59" t="s">
        <v>83</v>
      </c>
      <c r="C85" s="60" t="s">
        <v>62</v>
      </c>
      <c r="D85" s="61" t="s">
        <v>84</v>
      </c>
      <c r="E85" s="41"/>
      <c r="F85" s="42"/>
    </row>
    <row r="86" spans="1:28" ht="33" customHeight="1" x14ac:dyDescent="0.35">
      <c r="A86" s="24">
        <f>A85+1</f>
        <v>34</v>
      </c>
      <c r="B86" s="25" t="s">
        <v>64</v>
      </c>
      <c r="C86" s="26" t="s">
        <v>19</v>
      </c>
      <c r="D86" s="62">
        <f>0.69*4</f>
        <v>2.76</v>
      </c>
      <c r="E86" s="41"/>
      <c r="F86" s="53"/>
    </row>
    <row r="87" spans="1:28" s="58" customFormat="1" ht="30" hidden="1" customHeight="1" outlineLevel="1" x14ac:dyDescent="0.4">
      <c r="A87" s="54"/>
      <c r="B87" s="48" t="s">
        <v>65</v>
      </c>
      <c r="C87" s="49" t="s">
        <v>19</v>
      </c>
      <c r="D87" s="63">
        <f>0.69*4</f>
        <v>2.76</v>
      </c>
      <c r="E87" s="51"/>
      <c r="F87" s="57"/>
    </row>
    <row r="88" spans="1:28" s="39" customFormat="1" ht="36" customHeight="1" collapsed="1" x14ac:dyDescent="0.35">
      <c r="A88" s="24">
        <f>A86+1</f>
        <v>35</v>
      </c>
      <c r="B88" s="25" t="s">
        <v>66</v>
      </c>
      <c r="C88" s="26" t="s">
        <v>67</v>
      </c>
      <c r="D88" s="40" t="s">
        <v>85</v>
      </c>
      <c r="E88" s="64"/>
      <c r="F88" s="34"/>
      <c r="G88" s="35"/>
      <c r="H88" s="36"/>
      <c r="I88" s="37"/>
      <c r="J88" s="37"/>
      <c r="K88" s="38"/>
      <c r="L88" s="38"/>
      <c r="M88" s="38"/>
      <c r="N88" s="36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1:28" s="58" customFormat="1" ht="30" hidden="1" customHeight="1" outlineLevel="1" x14ac:dyDescent="0.4">
      <c r="A89" s="54"/>
      <c r="B89" s="48" t="s">
        <v>86</v>
      </c>
      <c r="C89" s="49" t="s">
        <v>14</v>
      </c>
      <c r="D89" s="65">
        <f>113.2*4/1000</f>
        <v>0.45280000000000004</v>
      </c>
      <c r="E89" s="51"/>
      <c r="F89" s="57"/>
    </row>
    <row r="90" spans="1:28" s="58" customFormat="1" ht="30" hidden="1" customHeight="1" outlineLevel="1" x14ac:dyDescent="0.4">
      <c r="A90" s="54"/>
      <c r="B90" s="48" t="s">
        <v>87</v>
      </c>
      <c r="C90" s="49" t="s">
        <v>14</v>
      </c>
      <c r="D90" s="65">
        <f>(11-0.98)/1000*4</f>
        <v>4.0079999999999998E-2</v>
      </c>
      <c r="E90" s="51"/>
      <c r="F90" s="57"/>
    </row>
    <row r="91" spans="1:28" s="58" customFormat="1" ht="30" hidden="1" customHeight="1" outlineLevel="1" x14ac:dyDescent="0.4">
      <c r="A91" s="54"/>
      <c r="B91" s="48" t="s">
        <v>70</v>
      </c>
      <c r="C91" s="49" t="s">
        <v>14</v>
      </c>
      <c r="D91" s="65">
        <f>(2.01*4)/1000</f>
        <v>8.0399999999999985E-3</v>
      </c>
      <c r="E91" s="51"/>
      <c r="F91" s="57"/>
    </row>
    <row r="92" spans="1:28" s="58" customFormat="1" ht="30" customHeight="1" collapsed="1" x14ac:dyDescent="0.4">
      <c r="A92" s="24">
        <f>A88+1</f>
        <v>36</v>
      </c>
      <c r="B92" s="59" t="s">
        <v>71</v>
      </c>
      <c r="C92" s="26" t="s">
        <v>14</v>
      </c>
      <c r="D92" s="40">
        <v>0.501</v>
      </c>
      <c r="E92" s="66"/>
      <c r="F92" s="57"/>
    </row>
    <row r="93" spans="1:28" ht="36" customHeight="1" x14ac:dyDescent="0.35">
      <c r="A93" s="24">
        <f>A92+1</f>
        <v>37</v>
      </c>
      <c r="B93" s="59" t="s">
        <v>88</v>
      </c>
      <c r="C93" s="26" t="s">
        <v>89</v>
      </c>
      <c r="D93" s="67" t="s">
        <v>90</v>
      </c>
      <c r="E93" s="41"/>
      <c r="F93" s="42"/>
    </row>
    <row r="94" spans="1:28" ht="36" customHeight="1" x14ac:dyDescent="0.35">
      <c r="A94" s="24">
        <f>A93+1</f>
        <v>38</v>
      </c>
      <c r="B94" s="59" t="s">
        <v>72</v>
      </c>
      <c r="C94" s="26" t="s">
        <v>29</v>
      </c>
      <c r="D94" s="67">
        <f>((0.159*3.14*0.4))*4</f>
        <v>0.79881600000000008</v>
      </c>
      <c r="E94" s="41"/>
      <c r="F94" s="42"/>
    </row>
    <row r="95" spans="1:28" s="58" customFormat="1" ht="30" hidden="1" customHeight="1" outlineLevel="1" x14ac:dyDescent="0.4">
      <c r="A95" s="54"/>
      <c r="B95" s="48" t="s">
        <v>73</v>
      </c>
      <c r="C95" s="49" t="s">
        <v>74</v>
      </c>
      <c r="D95" s="68">
        <f>3.31*0.8</f>
        <v>2.6480000000000001</v>
      </c>
      <c r="E95" s="69">
        <v>3.0000000000000001E-3</v>
      </c>
      <c r="F95" s="57"/>
    </row>
    <row r="96" spans="1:28" ht="36" customHeight="1" collapsed="1" x14ac:dyDescent="0.35">
      <c r="A96" s="24">
        <f>A94+1</f>
        <v>39</v>
      </c>
      <c r="B96" s="59" t="s">
        <v>75</v>
      </c>
      <c r="C96" s="26" t="s">
        <v>29</v>
      </c>
      <c r="D96" s="67">
        <f>((0.159*3.14*0.4))*4</f>
        <v>0.79881600000000008</v>
      </c>
      <c r="E96" s="41"/>
      <c r="F96" s="42"/>
    </row>
    <row r="97" spans="1:28" ht="36" customHeight="1" x14ac:dyDescent="0.35">
      <c r="A97" s="24">
        <f>A96+1</f>
        <v>40</v>
      </c>
      <c r="B97" s="59" t="s">
        <v>76</v>
      </c>
      <c r="C97" s="26" t="s">
        <v>29</v>
      </c>
      <c r="D97" s="67">
        <f>((0.159*3.14*0.4))*4</f>
        <v>0.79881600000000008</v>
      </c>
      <c r="E97" s="41"/>
      <c r="F97" s="42"/>
    </row>
    <row r="98" spans="1:28" s="58" customFormat="1" ht="30" customHeight="1" x14ac:dyDescent="0.4">
      <c r="A98" s="24">
        <f>A97+1</f>
        <v>41</v>
      </c>
      <c r="B98" s="59" t="s">
        <v>77</v>
      </c>
      <c r="C98" s="70" t="s">
        <v>29</v>
      </c>
      <c r="D98" s="67">
        <f>((0.159*3.14*0.4))*4</f>
        <v>0.79881600000000008</v>
      </c>
      <c r="E98" s="66"/>
      <c r="F98" s="57"/>
    </row>
    <row r="99" spans="1:28" s="58" customFormat="1" ht="30" hidden="1" customHeight="1" outlineLevel="1" x14ac:dyDescent="0.4">
      <c r="A99" s="54"/>
      <c r="B99" s="48" t="s">
        <v>78</v>
      </c>
      <c r="C99" s="49" t="s">
        <v>74</v>
      </c>
      <c r="D99" s="68">
        <f>0.8*0.255</f>
        <v>0.20400000000000001</v>
      </c>
      <c r="E99" s="69">
        <v>1E-3</v>
      </c>
      <c r="F99" s="57"/>
    </row>
    <row r="100" spans="1:28" s="58" customFormat="1" ht="30" customHeight="1" collapsed="1" x14ac:dyDescent="0.4">
      <c r="A100" s="24">
        <f>A98+1</f>
        <v>42</v>
      </c>
      <c r="B100" s="59" t="s">
        <v>79</v>
      </c>
      <c r="C100" s="70" t="s">
        <v>29</v>
      </c>
      <c r="D100" s="67">
        <f>((0.159*3.14*0.4))*4</f>
        <v>0.79881600000000008</v>
      </c>
      <c r="E100" s="66"/>
      <c r="F100" s="57"/>
    </row>
    <row r="101" spans="1:28" s="58" customFormat="1" ht="30" hidden="1" customHeight="1" outlineLevel="1" x14ac:dyDescent="0.4">
      <c r="A101" s="54"/>
      <c r="B101" s="48" t="s">
        <v>80</v>
      </c>
      <c r="C101" s="49" t="s">
        <v>74</v>
      </c>
      <c r="D101" s="68">
        <f>0.8*0.36*2</f>
        <v>0.57599999999999996</v>
      </c>
      <c r="E101" s="69"/>
      <c r="F101" s="57"/>
    </row>
    <row r="102" spans="1:28" s="39" customFormat="1" ht="30" customHeight="1" collapsed="1" x14ac:dyDescent="0.35">
      <c r="A102" s="153" t="s">
        <v>91</v>
      </c>
      <c r="B102" s="153"/>
      <c r="C102" s="153"/>
      <c r="D102" s="153"/>
      <c r="E102" s="153"/>
      <c r="F102" s="34"/>
      <c r="G102" s="35"/>
      <c r="H102" s="36"/>
      <c r="I102" s="37"/>
      <c r="J102" s="37"/>
      <c r="K102" s="38"/>
      <c r="L102" s="38"/>
      <c r="M102" s="38"/>
      <c r="N102" s="36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</row>
    <row r="103" spans="1:28" s="39" customFormat="1" ht="21" customHeight="1" x14ac:dyDescent="0.35">
      <c r="A103" s="158" t="s">
        <v>92</v>
      </c>
      <c r="B103" s="158"/>
      <c r="C103" s="158"/>
      <c r="D103" s="158"/>
      <c r="E103" s="158"/>
      <c r="F103" s="34"/>
      <c r="G103" s="35"/>
      <c r="H103" s="36"/>
      <c r="I103" s="37"/>
      <c r="J103" s="37"/>
      <c r="K103" s="38"/>
      <c r="L103" s="38"/>
      <c r="M103" s="38"/>
      <c r="N103" s="36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</row>
    <row r="104" spans="1:28" ht="30" customHeight="1" x14ac:dyDescent="0.35">
      <c r="A104" s="24">
        <f>A100+1</f>
        <v>43</v>
      </c>
      <c r="B104" s="59" t="s">
        <v>93</v>
      </c>
      <c r="C104" s="60" t="s">
        <v>62</v>
      </c>
      <c r="D104" s="61" t="s">
        <v>94</v>
      </c>
      <c r="E104" s="41"/>
      <c r="F104" s="42"/>
    </row>
    <row r="105" spans="1:28" ht="30" customHeight="1" x14ac:dyDescent="0.35">
      <c r="A105" s="24">
        <f>A104+1</f>
        <v>44</v>
      </c>
      <c r="B105" s="25" t="s">
        <v>51</v>
      </c>
      <c r="C105" s="26" t="s">
        <v>19</v>
      </c>
      <c r="D105" s="40">
        <v>0.6</v>
      </c>
      <c r="E105" s="41"/>
      <c r="F105" s="42"/>
    </row>
    <row r="106" spans="1:28" ht="31" hidden="1" customHeight="1" outlineLevel="1" x14ac:dyDescent="0.35">
      <c r="A106" s="47"/>
      <c r="B106" s="48" t="s">
        <v>52</v>
      </c>
      <c r="C106" s="49" t="s">
        <v>19</v>
      </c>
      <c r="D106" s="50">
        <f>0.6</f>
        <v>0.6</v>
      </c>
      <c r="E106" s="51"/>
      <c r="F106" s="42"/>
    </row>
    <row r="107" spans="1:28" ht="33" customHeight="1" collapsed="1" x14ac:dyDescent="0.35">
      <c r="A107" s="24">
        <f>A105+1</f>
        <v>45</v>
      </c>
      <c r="B107" s="25" t="s">
        <v>64</v>
      </c>
      <c r="C107" s="26" t="s">
        <v>19</v>
      </c>
      <c r="D107" s="62">
        <v>1.04</v>
      </c>
      <c r="E107" s="41"/>
      <c r="F107" s="53"/>
    </row>
    <row r="108" spans="1:28" s="58" customFormat="1" ht="30" hidden="1" customHeight="1" outlineLevel="1" x14ac:dyDescent="0.4">
      <c r="A108" s="54"/>
      <c r="B108" s="48" t="s">
        <v>95</v>
      </c>
      <c r="C108" s="49" t="s">
        <v>14</v>
      </c>
      <c r="D108" s="63">
        <f>8*2.71*2/1000</f>
        <v>4.3360000000000003E-2</v>
      </c>
      <c r="E108" s="51"/>
      <c r="F108" s="57"/>
    </row>
    <row r="109" spans="1:28" s="58" customFormat="1" ht="30" hidden="1" customHeight="1" outlineLevel="1" x14ac:dyDescent="0.4">
      <c r="A109" s="54"/>
      <c r="B109" s="48" t="s">
        <v>96</v>
      </c>
      <c r="C109" s="49" t="s">
        <v>14</v>
      </c>
      <c r="D109" s="63">
        <f>7*0.51*2/1000</f>
        <v>7.1400000000000005E-3</v>
      </c>
      <c r="E109" s="51"/>
      <c r="F109" s="57"/>
    </row>
    <row r="110" spans="1:28" s="58" customFormat="1" ht="30" hidden="1" customHeight="1" outlineLevel="1" x14ac:dyDescent="0.4">
      <c r="A110" s="54"/>
      <c r="B110" s="48" t="s">
        <v>65</v>
      </c>
      <c r="C110" s="49" t="s">
        <v>19</v>
      </c>
      <c r="D110" s="63">
        <f>0.52*2</f>
        <v>1.04</v>
      </c>
      <c r="E110" s="51"/>
      <c r="F110" s="57"/>
    </row>
    <row r="111" spans="1:28" s="39" customFormat="1" ht="36" customHeight="1" collapsed="1" x14ac:dyDescent="0.35">
      <c r="A111" s="24">
        <f>A107+1</f>
        <v>46</v>
      </c>
      <c r="B111" s="25" t="s">
        <v>71</v>
      </c>
      <c r="C111" s="40" t="s">
        <v>67</v>
      </c>
      <c r="D111" s="40" t="s">
        <v>97</v>
      </c>
      <c r="E111" s="64"/>
      <c r="F111" s="34"/>
      <c r="G111" s="35"/>
      <c r="H111" s="36"/>
      <c r="I111" s="37"/>
      <c r="J111" s="37"/>
      <c r="K111" s="38"/>
      <c r="L111" s="38"/>
      <c r="M111" s="38"/>
      <c r="N111" s="36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</row>
    <row r="112" spans="1:28" s="58" customFormat="1" ht="30" hidden="1" customHeight="1" outlineLevel="1" x14ac:dyDescent="0.4">
      <c r="A112" s="54"/>
      <c r="B112" s="48" t="s">
        <v>98</v>
      </c>
      <c r="C112" s="49" t="s">
        <v>58</v>
      </c>
      <c r="D112" s="55">
        <v>2</v>
      </c>
      <c r="E112" s="51"/>
      <c r="F112" s="57"/>
    </row>
    <row r="113" spans="1:28" s="58" customFormat="1" ht="30" customHeight="1" collapsed="1" x14ac:dyDescent="0.4">
      <c r="A113" s="24">
        <f>A111+1</f>
        <v>47</v>
      </c>
      <c r="B113" s="71" t="s">
        <v>99</v>
      </c>
      <c r="C113" s="40" t="s">
        <v>67</v>
      </c>
      <c r="D113" s="67" t="s">
        <v>100</v>
      </c>
      <c r="E113" s="66"/>
      <c r="F113" s="57"/>
    </row>
    <row r="114" spans="1:28" s="58" customFormat="1" ht="30" hidden="1" customHeight="1" outlineLevel="1" x14ac:dyDescent="0.4">
      <c r="A114" s="54"/>
      <c r="B114" s="48" t="s">
        <v>91</v>
      </c>
      <c r="C114" s="49" t="s">
        <v>58</v>
      </c>
      <c r="D114" s="55">
        <v>2</v>
      </c>
      <c r="E114" s="51"/>
      <c r="F114" s="57"/>
    </row>
    <row r="115" spans="1:28" s="39" customFormat="1" ht="30" customHeight="1" collapsed="1" x14ac:dyDescent="0.35">
      <c r="A115" s="153" t="s">
        <v>101</v>
      </c>
      <c r="B115" s="153"/>
      <c r="C115" s="153"/>
      <c r="D115" s="153"/>
      <c r="E115" s="153"/>
      <c r="F115" s="34"/>
      <c r="G115" s="35"/>
      <c r="H115" s="36"/>
      <c r="I115" s="37"/>
      <c r="J115" s="37"/>
      <c r="K115" s="38"/>
      <c r="L115" s="38"/>
      <c r="M115" s="38"/>
      <c r="N115" s="36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</row>
    <row r="116" spans="1:28" s="39" customFormat="1" ht="21" customHeight="1" x14ac:dyDescent="0.35">
      <c r="A116" s="158" t="s">
        <v>102</v>
      </c>
      <c r="B116" s="158"/>
      <c r="C116" s="158"/>
      <c r="D116" s="158"/>
      <c r="E116" s="158"/>
      <c r="F116" s="34"/>
      <c r="G116" s="35"/>
      <c r="H116" s="36"/>
      <c r="I116" s="37"/>
      <c r="J116" s="37"/>
      <c r="K116" s="38"/>
      <c r="L116" s="38"/>
      <c r="M116" s="38"/>
      <c r="N116" s="36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</row>
    <row r="117" spans="1:28" ht="30" customHeight="1" x14ac:dyDescent="0.35">
      <c r="A117" s="72">
        <f>A113+1</f>
        <v>48</v>
      </c>
      <c r="B117" s="25" t="s">
        <v>103</v>
      </c>
      <c r="C117" s="26" t="s">
        <v>19</v>
      </c>
      <c r="D117" s="67">
        <f>13.44*0.42</f>
        <v>5.6447999999999992</v>
      </c>
      <c r="E117" s="41"/>
      <c r="F117" s="42"/>
    </row>
    <row r="118" spans="1:28" ht="31" hidden="1" customHeight="1" outlineLevel="1" x14ac:dyDescent="0.35">
      <c r="A118" s="47"/>
      <c r="B118" s="48" t="s">
        <v>52</v>
      </c>
      <c r="C118" s="49" t="s">
        <v>19</v>
      </c>
      <c r="D118" s="50">
        <f>5.6</f>
        <v>5.6</v>
      </c>
      <c r="E118" s="51"/>
      <c r="F118" s="42"/>
    </row>
    <row r="119" spans="1:28" s="39" customFormat="1" ht="21" customHeight="1" collapsed="1" x14ac:dyDescent="0.35">
      <c r="A119" s="158" t="s">
        <v>104</v>
      </c>
      <c r="B119" s="158"/>
      <c r="C119" s="158"/>
      <c r="D119" s="158"/>
      <c r="E119" s="158"/>
      <c r="F119" s="34"/>
      <c r="G119" s="35"/>
      <c r="H119" s="36"/>
      <c r="I119" s="37"/>
      <c r="J119" s="37"/>
      <c r="K119" s="38"/>
      <c r="L119" s="38"/>
      <c r="M119" s="38"/>
      <c r="N119" s="36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</row>
    <row r="120" spans="1:28" ht="36" customHeight="1" x14ac:dyDescent="0.35">
      <c r="A120" s="72">
        <f>A117+1</f>
        <v>49</v>
      </c>
      <c r="B120" s="59" t="s">
        <v>72</v>
      </c>
      <c r="C120" s="26" t="s">
        <v>29</v>
      </c>
      <c r="D120" s="67">
        <f>((0.089*3.14*4.6)+(0.219*3.14*0.7))</f>
        <v>1.7668779999999999</v>
      </c>
      <c r="E120" s="41"/>
      <c r="F120" s="42"/>
    </row>
    <row r="121" spans="1:28" s="58" customFormat="1" ht="30" hidden="1" customHeight="1" outlineLevel="1" x14ac:dyDescent="0.4">
      <c r="A121" s="54"/>
      <c r="B121" s="48" t="s">
        <v>73</v>
      </c>
      <c r="C121" s="49" t="s">
        <v>74</v>
      </c>
      <c r="D121" s="68">
        <f>3.31*D120</f>
        <v>5.8483661800000002</v>
      </c>
      <c r="E121" s="69">
        <v>6.0000000000000001E-3</v>
      </c>
      <c r="F121" s="57"/>
    </row>
    <row r="122" spans="1:28" ht="36" customHeight="1" collapsed="1" x14ac:dyDescent="0.35">
      <c r="A122" s="72">
        <f>A120+1</f>
        <v>50</v>
      </c>
      <c r="B122" s="59" t="s">
        <v>75</v>
      </c>
      <c r="C122" s="26" t="s">
        <v>29</v>
      </c>
      <c r="D122" s="67">
        <f>((0.089*3.14*4.6)+(0.219*3.14*0.7))</f>
        <v>1.7668779999999999</v>
      </c>
      <c r="E122" s="41"/>
      <c r="F122" s="42"/>
    </row>
    <row r="123" spans="1:28" ht="36" customHeight="1" x14ac:dyDescent="0.35">
      <c r="A123" s="24">
        <f>A122+1</f>
        <v>51</v>
      </c>
      <c r="B123" s="59" t="s">
        <v>76</v>
      </c>
      <c r="C123" s="26" t="s">
        <v>29</v>
      </c>
      <c r="D123" s="67">
        <f>((0.089*3.14*4.6)+(0.219*3.14*0.7))</f>
        <v>1.7668779999999999</v>
      </c>
      <c r="E123" s="41"/>
      <c r="F123" s="42"/>
    </row>
    <row r="124" spans="1:28" s="58" customFormat="1" ht="30" customHeight="1" x14ac:dyDescent="0.4">
      <c r="A124" s="24">
        <f>A123+1</f>
        <v>52</v>
      </c>
      <c r="B124" s="59" t="s">
        <v>77</v>
      </c>
      <c r="C124" s="70" t="s">
        <v>29</v>
      </c>
      <c r="D124" s="67">
        <f>((0.089*3.14*4.6)+(0.219*3.14*0.7))</f>
        <v>1.7668779999999999</v>
      </c>
      <c r="E124" s="66"/>
      <c r="F124" s="57"/>
    </row>
    <row r="125" spans="1:28" s="58" customFormat="1" ht="30" hidden="1" customHeight="1" outlineLevel="1" x14ac:dyDescent="0.4">
      <c r="A125" s="54"/>
      <c r="B125" s="48" t="s">
        <v>78</v>
      </c>
      <c r="C125" s="49" t="s">
        <v>74</v>
      </c>
      <c r="D125" s="68">
        <f>D124*0.255</f>
        <v>0.45055389000000001</v>
      </c>
      <c r="E125" s="69">
        <v>1E-3</v>
      </c>
      <c r="F125" s="57"/>
    </row>
    <row r="126" spans="1:28" s="58" customFormat="1" ht="30" customHeight="1" collapsed="1" x14ac:dyDescent="0.4">
      <c r="A126" s="24">
        <f>A124+1</f>
        <v>53</v>
      </c>
      <c r="B126" s="59" t="s">
        <v>79</v>
      </c>
      <c r="C126" s="70" t="s">
        <v>29</v>
      </c>
      <c r="D126" s="67">
        <f>((0.089*3.14*4.6)+(0.219*3.14*0.7))</f>
        <v>1.7668779999999999</v>
      </c>
      <c r="E126" s="66"/>
      <c r="F126" s="57"/>
    </row>
    <row r="127" spans="1:28" s="58" customFormat="1" ht="30" hidden="1" customHeight="1" outlineLevel="1" x14ac:dyDescent="0.4">
      <c r="A127" s="54"/>
      <c r="B127" s="48" t="s">
        <v>80</v>
      </c>
      <c r="C127" s="49" t="s">
        <v>74</v>
      </c>
      <c r="D127" s="68">
        <f>D126*0.36*2</f>
        <v>1.2721521599999999</v>
      </c>
      <c r="E127" s="69">
        <v>1E-3</v>
      </c>
      <c r="F127" s="57"/>
    </row>
    <row r="128" spans="1:28" s="39" customFormat="1" ht="30" customHeight="1" collapsed="1" x14ac:dyDescent="0.35">
      <c r="A128" s="153" t="s">
        <v>105</v>
      </c>
      <c r="B128" s="153"/>
      <c r="C128" s="153"/>
      <c r="D128" s="153"/>
      <c r="E128" s="153"/>
      <c r="F128" s="34"/>
      <c r="G128" s="35"/>
      <c r="H128" s="36"/>
      <c r="I128" s="37"/>
      <c r="J128" s="37"/>
      <c r="K128" s="38"/>
      <c r="L128" s="38"/>
      <c r="M128" s="38"/>
      <c r="N128" s="36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</row>
    <row r="129" spans="1:203" s="39" customFormat="1" ht="21" customHeight="1" x14ac:dyDescent="0.35">
      <c r="A129" s="158" t="s">
        <v>106</v>
      </c>
      <c r="B129" s="158"/>
      <c r="C129" s="158"/>
      <c r="D129" s="158"/>
      <c r="E129" s="158"/>
      <c r="F129" s="34"/>
      <c r="G129" s="35"/>
      <c r="H129" s="36"/>
      <c r="I129" s="37"/>
      <c r="J129" s="37"/>
      <c r="K129" s="38"/>
      <c r="L129" s="38"/>
      <c r="M129" s="38"/>
      <c r="N129" s="36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</row>
    <row r="130" spans="1:203" s="43" customFormat="1" ht="33" customHeight="1" x14ac:dyDescent="0.35">
      <c r="A130" s="24">
        <f>A126+1</f>
        <v>54</v>
      </c>
      <c r="B130" s="25" t="s">
        <v>54</v>
      </c>
      <c r="C130" s="26" t="s">
        <v>55</v>
      </c>
      <c r="D130" s="40" t="s">
        <v>107</v>
      </c>
      <c r="E130" s="41"/>
      <c r="F130" s="53"/>
      <c r="H130" s="44"/>
      <c r="K130" s="45"/>
      <c r="L130" s="45"/>
      <c r="M130" s="45"/>
      <c r="N130" s="44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</row>
    <row r="131" spans="1:203" s="58" customFormat="1" ht="30" hidden="1" customHeight="1" outlineLevel="1" x14ac:dyDescent="0.4">
      <c r="A131" s="54"/>
      <c r="B131" s="48" t="s">
        <v>57</v>
      </c>
      <c r="C131" s="49" t="s">
        <v>58</v>
      </c>
      <c r="D131" s="55">
        <v>5</v>
      </c>
      <c r="E131" s="56">
        <f>4.2*5</f>
        <v>21</v>
      </c>
      <c r="F131" s="57"/>
    </row>
    <row r="132" spans="1:203" s="43" customFormat="1" ht="30" customHeight="1" collapsed="1" x14ac:dyDescent="0.35">
      <c r="A132" s="72">
        <f>A130+1</f>
        <v>55</v>
      </c>
      <c r="B132" s="25" t="s">
        <v>108</v>
      </c>
      <c r="C132" s="26" t="s">
        <v>19</v>
      </c>
      <c r="D132" s="67">
        <v>6</v>
      </c>
      <c r="E132" s="41"/>
      <c r="F132" s="42"/>
      <c r="H132" s="44"/>
      <c r="K132" s="45"/>
      <c r="L132" s="45"/>
      <c r="M132" s="45"/>
      <c r="N132" s="44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</row>
    <row r="133" spans="1:203" s="43" customFormat="1" ht="31" hidden="1" customHeight="1" outlineLevel="1" x14ac:dyDescent="0.35">
      <c r="A133" s="47"/>
      <c r="B133" s="48" t="s">
        <v>52</v>
      </c>
      <c r="C133" s="49" t="s">
        <v>19</v>
      </c>
      <c r="D133" s="50">
        <f>6</f>
        <v>6</v>
      </c>
      <c r="E133" s="51"/>
      <c r="F133" s="42"/>
      <c r="H133" s="44"/>
      <c r="K133" s="45"/>
      <c r="L133" s="45"/>
      <c r="M133" s="45"/>
      <c r="N133" s="44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</row>
    <row r="134" spans="1:203" s="43" customFormat="1" ht="33" customHeight="1" collapsed="1" x14ac:dyDescent="0.35">
      <c r="A134" s="24">
        <f>A132+1</f>
        <v>56</v>
      </c>
      <c r="B134" s="25" t="s">
        <v>54</v>
      </c>
      <c r="C134" s="26" t="s">
        <v>55</v>
      </c>
      <c r="D134" s="40" t="s">
        <v>107</v>
      </c>
      <c r="E134" s="41"/>
      <c r="F134" s="53"/>
      <c r="H134" s="44"/>
      <c r="K134" s="45"/>
      <c r="L134" s="45"/>
      <c r="M134" s="45"/>
      <c r="N134" s="44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</row>
    <row r="135" spans="1:203" s="58" customFormat="1" ht="30" hidden="1" customHeight="1" outlineLevel="1" x14ac:dyDescent="0.4">
      <c r="A135" s="54"/>
      <c r="B135" s="48" t="s">
        <v>57</v>
      </c>
      <c r="C135" s="49" t="s">
        <v>58</v>
      </c>
      <c r="D135" s="55">
        <v>5</v>
      </c>
      <c r="E135" s="56">
        <f>4.2*5</f>
        <v>21</v>
      </c>
      <c r="F135" s="57"/>
    </row>
    <row r="136" spans="1:203" s="58" customFormat="1" ht="30" customHeight="1" collapsed="1" x14ac:dyDescent="0.4">
      <c r="A136" s="24">
        <f>A134+1</f>
        <v>57</v>
      </c>
      <c r="B136" s="59" t="s">
        <v>109</v>
      </c>
      <c r="C136" s="70" t="s">
        <v>14</v>
      </c>
      <c r="D136" s="27">
        <v>1.988</v>
      </c>
      <c r="E136" s="66"/>
      <c r="F136" s="57"/>
    </row>
    <row r="137" spans="1:203" s="58" customFormat="1" ht="30" hidden="1" customHeight="1" outlineLevel="1" x14ac:dyDescent="0.4">
      <c r="A137" s="54"/>
      <c r="B137" s="48" t="s">
        <v>110</v>
      </c>
      <c r="C137" s="49" t="s">
        <v>14</v>
      </c>
      <c r="D137" s="65">
        <f>(469.82+12.8)/1000</f>
        <v>0.48261999999999999</v>
      </c>
      <c r="E137" s="51"/>
      <c r="F137" s="57"/>
    </row>
    <row r="138" spans="1:203" s="58" customFormat="1" ht="30" hidden="1" customHeight="1" outlineLevel="1" x14ac:dyDescent="0.4">
      <c r="A138" s="54"/>
      <c r="B138" s="48" t="s">
        <v>111</v>
      </c>
      <c r="C138" s="49" t="s">
        <v>14</v>
      </c>
      <c r="D138" s="65">
        <f>29.4*18.4/1000</f>
        <v>0.54095999999999989</v>
      </c>
      <c r="E138" s="51"/>
      <c r="F138" s="57"/>
    </row>
    <row r="139" spans="1:203" s="58" customFormat="1" ht="30" hidden="1" customHeight="1" outlineLevel="1" x14ac:dyDescent="0.4">
      <c r="A139" s="54"/>
      <c r="B139" s="48" t="s">
        <v>112</v>
      </c>
      <c r="C139" s="49" t="s">
        <v>14</v>
      </c>
      <c r="D139" s="65">
        <f>28.5*14.2/1000</f>
        <v>0.4047</v>
      </c>
      <c r="E139" s="51"/>
      <c r="F139" s="57"/>
    </row>
    <row r="140" spans="1:203" s="58" customFormat="1" ht="30" hidden="1" customHeight="1" outlineLevel="1" x14ac:dyDescent="0.4">
      <c r="A140" s="54"/>
      <c r="B140" s="48" t="s">
        <v>113</v>
      </c>
      <c r="C140" s="49" t="s">
        <v>14</v>
      </c>
      <c r="D140" s="65">
        <f>16.5*5.8/1000</f>
        <v>9.5700000000000007E-2</v>
      </c>
      <c r="E140" s="51"/>
      <c r="F140" s="57"/>
    </row>
    <row r="141" spans="1:203" s="58" customFormat="1" ht="30" hidden="1" customHeight="1" outlineLevel="1" x14ac:dyDescent="0.4">
      <c r="A141" s="54"/>
      <c r="B141" s="48" t="s">
        <v>114</v>
      </c>
      <c r="C141" s="49" t="s">
        <v>14</v>
      </c>
      <c r="D141" s="65">
        <f>((1.3*24*3.8)+(1.03*6*3.8)+(21.3*3.8)+(10*0.38)+(10*2.56))/1000</f>
        <v>0.252384</v>
      </c>
      <c r="E141" s="51"/>
      <c r="F141" s="57"/>
    </row>
    <row r="142" spans="1:203" s="58" customFormat="1" ht="30" hidden="1" customHeight="1" outlineLevel="1" x14ac:dyDescent="0.4">
      <c r="A142" s="54"/>
      <c r="B142" s="48" t="s">
        <v>115</v>
      </c>
      <c r="C142" s="49" t="s">
        <v>14</v>
      </c>
      <c r="D142" s="65">
        <f>42.6*1.1/1000</f>
        <v>4.6860000000000006E-2</v>
      </c>
      <c r="E142" s="51"/>
      <c r="F142" s="57"/>
    </row>
    <row r="143" spans="1:203" s="58" customFormat="1" ht="30" hidden="1" customHeight="1" outlineLevel="1" x14ac:dyDescent="0.4">
      <c r="A143" s="54"/>
      <c r="B143" s="48" t="s">
        <v>116</v>
      </c>
      <c r="C143" s="49" t="s">
        <v>14</v>
      </c>
      <c r="D143" s="65">
        <f>21.3*4.7/1000</f>
        <v>0.10011000000000002</v>
      </c>
      <c r="E143" s="51"/>
      <c r="F143" s="57"/>
    </row>
    <row r="144" spans="1:203" s="58" customFormat="1" ht="30" hidden="1" customHeight="1" outlineLevel="1" x14ac:dyDescent="0.4">
      <c r="A144" s="54"/>
      <c r="B144" s="48" t="s">
        <v>112</v>
      </c>
      <c r="C144" s="49" t="s">
        <v>14</v>
      </c>
      <c r="D144" s="65">
        <f>2*30.1/1000</f>
        <v>6.0200000000000004E-2</v>
      </c>
      <c r="E144" s="51"/>
      <c r="F144" s="57"/>
    </row>
    <row r="145" spans="1:203" s="58" customFormat="1" ht="30" hidden="1" customHeight="1" outlineLevel="1" x14ac:dyDescent="0.4">
      <c r="A145" s="54"/>
      <c r="B145" s="48" t="s">
        <v>117</v>
      </c>
      <c r="C145" s="49" t="s">
        <v>14</v>
      </c>
      <c r="D145" s="65">
        <f>4.71/1000</f>
        <v>4.7099999999999998E-3</v>
      </c>
      <c r="E145" s="51"/>
      <c r="F145" s="57"/>
    </row>
    <row r="146" spans="1:203" s="58" customFormat="1" ht="30" customHeight="1" collapsed="1" x14ac:dyDescent="0.4">
      <c r="A146" s="24">
        <f>A136+1</f>
        <v>58</v>
      </c>
      <c r="B146" s="59" t="s">
        <v>118</v>
      </c>
      <c r="C146" s="70" t="s">
        <v>14</v>
      </c>
      <c r="D146" s="27">
        <v>1.988</v>
      </c>
      <c r="E146" s="66"/>
      <c r="F146" s="57"/>
    </row>
    <row r="147" spans="1:203" s="58" customFormat="1" ht="30" customHeight="1" x14ac:dyDescent="0.4">
      <c r="A147" s="24">
        <f>A146+1</f>
        <v>59</v>
      </c>
      <c r="B147" s="59" t="s">
        <v>119</v>
      </c>
      <c r="C147" s="70" t="s">
        <v>67</v>
      </c>
      <c r="D147" s="27" t="s">
        <v>120</v>
      </c>
      <c r="E147" s="66"/>
      <c r="F147" s="57"/>
    </row>
    <row r="148" spans="1:203" s="58" customFormat="1" ht="30" hidden="1" customHeight="1" outlineLevel="1" x14ac:dyDescent="0.4">
      <c r="A148" s="54"/>
      <c r="B148" s="48" t="s">
        <v>121</v>
      </c>
      <c r="C148" s="49" t="s">
        <v>14</v>
      </c>
      <c r="D148" s="65">
        <f>38.13*8/1000</f>
        <v>0.30504000000000003</v>
      </c>
      <c r="E148" s="51"/>
      <c r="F148" s="57"/>
    </row>
    <row r="149" spans="1:203" s="58" customFormat="1" ht="30" hidden="1" customHeight="1" outlineLevel="1" x14ac:dyDescent="0.4">
      <c r="A149" s="54"/>
      <c r="B149" s="48" t="s">
        <v>117</v>
      </c>
      <c r="C149" s="49" t="s">
        <v>14</v>
      </c>
      <c r="D149" s="65">
        <f>(3.14+15.9+4.15+4.15+4.15+4.15)*8/1000</f>
        <v>0.28511999999999993</v>
      </c>
      <c r="E149" s="51"/>
      <c r="F149" s="57"/>
    </row>
    <row r="150" spans="1:203" s="58" customFormat="1" ht="30" customHeight="1" collapsed="1" x14ac:dyDescent="0.4">
      <c r="A150" s="24">
        <f>A147+1</f>
        <v>60</v>
      </c>
      <c r="B150" s="59" t="s">
        <v>122</v>
      </c>
      <c r="C150" s="70" t="s">
        <v>58</v>
      </c>
      <c r="D150" s="40">
        <v>2</v>
      </c>
      <c r="E150" s="66"/>
      <c r="F150" s="57"/>
    </row>
    <row r="151" spans="1:203" s="58" customFormat="1" ht="30" customHeight="1" x14ac:dyDescent="0.4">
      <c r="A151" s="24">
        <f>A150+1</f>
        <v>61</v>
      </c>
      <c r="B151" s="59" t="s">
        <v>123</v>
      </c>
      <c r="C151" s="70" t="s">
        <v>67</v>
      </c>
      <c r="D151" s="40" t="s">
        <v>124</v>
      </c>
      <c r="E151" s="66"/>
      <c r="F151" s="57"/>
    </row>
    <row r="152" spans="1:203" s="58" customFormat="1" ht="30" hidden="1" customHeight="1" outlineLevel="1" x14ac:dyDescent="0.4">
      <c r="A152" s="54"/>
      <c r="B152" s="48" t="s">
        <v>125</v>
      </c>
      <c r="C152" s="49" t="s">
        <v>58</v>
      </c>
      <c r="D152" s="49">
        <v>2</v>
      </c>
      <c r="E152" s="69"/>
      <c r="F152" s="57"/>
    </row>
    <row r="153" spans="1:203" s="58" customFormat="1" ht="30" customHeight="1" collapsed="1" x14ac:dyDescent="0.4">
      <c r="A153" s="24">
        <f>A151+1</f>
        <v>62</v>
      </c>
      <c r="B153" s="59" t="s">
        <v>126</v>
      </c>
      <c r="C153" s="70" t="s">
        <v>58</v>
      </c>
      <c r="D153" s="40">
        <v>32</v>
      </c>
      <c r="E153" s="66"/>
      <c r="F153" s="57"/>
    </row>
    <row r="154" spans="1:203" s="58" customFormat="1" ht="30" customHeight="1" x14ac:dyDescent="0.4">
      <c r="A154" s="24">
        <f>A153+1</f>
        <v>63</v>
      </c>
      <c r="B154" s="59" t="s">
        <v>123</v>
      </c>
      <c r="C154" s="70" t="s">
        <v>67</v>
      </c>
      <c r="D154" s="40" t="s">
        <v>127</v>
      </c>
      <c r="E154" s="66"/>
      <c r="F154" s="57"/>
    </row>
    <row r="155" spans="1:203" s="58" customFormat="1" ht="30" hidden="1" customHeight="1" outlineLevel="1" x14ac:dyDescent="0.4">
      <c r="A155" s="54"/>
      <c r="B155" s="48" t="s">
        <v>128</v>
      </c>
      <c r="C155" s="49" t="s">
        <v>58</v>
      </c>
      <c r="D155" s="49">
        <v>32</v>
      </c>
      <c r="E155" s="69"/>
      <c r="F155" s="57"/>
    </row>
    <row r="156" spans="1:203" s="43" customFormat="1" ht="36" customHeight="1" collapsed="1" x14ac:dyDescent="0.35">
      <c r="A156" s="24">
        <f>A154+1</f>
        <v>64</v>
      </c>
      <c r="B156" s="59" t="s">
        <v>72</v>
      </c>
      <c r="C156" s="26" t="s">
        <v>29</v>
      </c>
      <c r="D156" s="67">
        <f>(1.506*29)+27.8+27.8</f>
        <v>99.274000000000001</v>
      </c>
      <c r="E156" s="41"/>
      <c r="F156" s="42"/>
      <c r="H156" s="44"/>
      <c r="K156" s="45"/>
      <c r="L156" s="45"/>
      <c r="M156" s="45"/>
      <c r="N156" s="44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</row>
    <row r="157" spans="1:203" s="58" customFormat="1" ht="30" hidden="1" customHeight="1" outlineLevel="1" x14ac:dyDescent="0.4">
      <c r="A157" s="54"/>
      <c r="B157" s="48" t="s">
        <v>73</v>
      </c>
      <c r="C157" s="49" t="s">
        <v>74</v>
      </c>
      <c r="D157" s="68">
        <f>3.31*99.3</f>
        <v>328.68299999999999</v>
      </c>
      <c r="E157" s="69">
        <v>0.32900000000000001</v>
      </c>
      <c r="F157" s="57"/>
    </row>
    <row r="158" spans="1:203" s="43" customFormat="1" ht="36" customHeight="1" collapsed="1" x14ac:dyDescent="0.35">
      <c r="A158" s="24">
        <f>A156+1</f>
        <v>65</v>
      </c>
      <c r="B158" s="59" t="s">
        <v>75</v>
      </c>
      <c r="C158" s="26" t="s">
        <v>29</v>
      </c>
      <c r="D158" s="67">
        <f>(1.506*29)+27.8+27.8</f>
        <v>99.274000000000001</v>
      </c>
      <c r="E158" s="41"/>
      <c r="F158" s="42"/>
      <c r="H158" s="44"/>
      <c r="K158" s="45"/>
      <c r="L158" s="45"/>
      <c r="M158" s="45"/>
      <c r="N158" s="44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</row>
    <row r="159" spans="1:203" s="43" customFormat="1" ht="36" customHeight="1" x14ac:dyDescent="0.35">
      <c r="A159" s="24">
        <f>A158+1</f>
        <v>66</v>
      </c>
      <c r="B159" s="59" t="s">
        <v>76</v>
      </c>
      <c r="C159" s="26" t="s">
        <v>29</v>
      </c>
      <c r="D159" s="67">
        <f>(1.506*29)+27.8+27.8</f>
        <v>99.274000000000001</v>
      </c>
      <c r="E159" s="41"/>
      <c r="F159" s="42"/>
      <c r="H159" s="44"/>
      <c r="K159" s="45"/>
      <c r="L159" s="45"/>
      <c r="M159" s="45"/>
      <c r="N159" s="44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</row>
    <row r="160" spans="1:203" s="58" customFormat="1" ht="30" customHeight="1" x14ac:dyDescent="0.4">
      <c r="A160" s="24">
        <f>A159+1</f>
        <v>67</v>
      </c>
      <c r="B160" s="59" t="s">
        <v>77</v>
      </c>
      <c r="C160" s="70" t="s">
        <v>29</v>
      </c>
      <c r="D160" s="67">
        <f>(1.506*29)+27.8+27.8</f>
        <v>99.274000000000001</v>
      </c>
      <c r="E160" s="66"/>
      <c r="F160" s="57"/>
    </row>
    <row r="161" spans="1:28" s="58" customFormat="1" ht="30" hidden="1" customHeight="1" outlineLevel="1" x14ac:dyDescent="0.4">
      <c r="A161" s="54"/>
      <c r="B161" s="48" t="s">
        <v>78</v>
      </c>
      <c r="C161" s="49" t="s">
        <v>74</v>
      </c>
      <c r="D161" s="68">
        <f>99.3*0.255</f>
        <v>25.3215</v>
      </c>
      <c r="E161" s="69">
        <v>2.5000000000000001E-2</v>
      </c>
      <c r="F161" s="57"/>
    </row>
    <row r="162" spans="1:28" s="58" customFormat="1" ht="30" customHeight="1" collapsed="1" x14ac:dyDescent="0.4">
      <c r="A162" s="24">
        <f>A160+1</f>
        <v>68</v>
      </c>
      <c r="B162" s="59" t="s">
        <v>79</v>
      </c>
      <c r="C162" s="70" t="s">
        <v>29</v>
      </c>
      <c r="D162" s="67">
        <f>(1.506*29)+27.8+27.8</f>
        <v>99.274000000000001</v>
      </c>
      <c r="E162" s="66"/>
      <c r="F162" s="57"/>
    </row>
    <row r="163" spans="1:28" s="58" customFormat="1" ht="30" hidden="1" customHeight="1" outlineLevel="1" x14ac:dyDescent="0.4">
      <c r="A163" s="54"/>
      <c r="B163" s="48" t="s">
        <v>80</v>
      </c>
      <c r="C163" s="49" t="s">
        <v>74</v>
      </c>
      <c r="D163" s="68">
        <f>99.3*0.36*2</f>
        <v>71.495999999999995</v>
      </c>
      <c r="E163" s="69">
        <v>7.0999999999999994E-2</v>
      </c>
      <c r="F163" s="57"/>
    </row>
    <row r="164" spans="1:28" s="39" customFormat="1" ht="30" customHeight="1" collapsed="1" x14ac:dyDescent="0.35">
      <c r="A164" s="153" t="s">
        <v>129</v>
      </c>
      <c r="B164" s="153"/>
      <c r="C164" s="153"/>
      <c r="D164" s="153"/>
      <c r="E164" s="153"/>
      <c r="F164" s="34"/>
      <c r="G164" s="35"/>
      <c r="H164" s="36"/>
      <c r="I164" s="37"/>
      <c r="J164" s="37"/>
      <c r="K164" s="38"/>
      <c r="L164" s="38"/>
      <c r="M164" s="38"/>
      <c r="N164" s="36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</row>
    <row r="165" spans="1:28" s="39" customFormat="1" ht="21" customHeight="1" x14ac:dyDescent="0.35">
      <c r="A165" s="158" t="s">
        <v>130</v>
      </c>
      <c r="B165" s="158"/>
      <c r="C165" s="158"/>
      <c r="D165" s="158"/>
      <c r="E165" s="158"/>
      <c r="F165" s="34"/>
      <c r="G165" s="35"/>
      <c r="H165" s="36"/>
      <c r="I165" s="37"/>
      <c r="J165" s="37"/>
      <c r="K165" s="38"/>
      <c r="L165" s="38"/>
      <c r="M165" s="38"/>
      <c r="N165" s="36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</row>
    <row r="166" spans="1:28" ht="30" customHeight="1" x14ac:dyDescent="0.35">
      <c r="A166" s="24">
        <f>A162+1</f>
        <v>69</v>
      </c>
      <c r="B166" s="25" t="s">
        <v>131</v>
      </c>
      <c r="C166" s="26" t="s">
        <v>132</v>
      </c>
      <c r="D166" s="73">
        <v>15</v>
      </c>
      <c r="E166" s="41"/>
      <c r="F166" s="42"/>
    </row>
    <row r="167" spans="1:28" ht="31" hidden="1" customHeight="1" outlineLevel="1" x14ac:dyDescent="0.35">
      <c r="A167" s="47"/>
      <c r="B167" s="48" t="s">
        <v>133</v>
      </c>
      <c r="C167" s="49" t="s">
        <v>58</v>
      </c>
      <c r="D167" s="55">
        <v>15</v>
      </c>
      <c r="E167" s="56">
        <v>1.5</v>
      </c>
      <c r="F167" s="42"/>
    </row>
    <row r="168" spans="1:28" ht="31" hidden="1" customHeight="1" outlineLevel="1" x14ac:dyDescent="0.35">
      <c r="A168" s="74"/>
      <c r="B168" s="48" t="s">
        <v>134</v>
      </c>
      <c r="C168" s="49" t="s">
        <v>19</v>
      </c>
      <c r="D168" s="55">
        <v>1</v>
      </c>
      <c r="E168" s="69"/>
      <c r="F168" s="42"/>
    </row>
    <row r="169" spans="1:28" ht="30" customHeight="1" collapsed="1" x14ac:dyDescent="0.35">
      <c r="A169" s="24">
        <f>A166+1</f>
        <v>70</v>
      </c>
      <c r="B169" s="25" t="s">
        <v>135</v>
      </c>
      <c r="C169" s="26" t="s">
        <v>19</v>
      </c>
      <c r="D169" s="40">
        <v>3.65</v>
      </c>
      <c r="E169" s="41"/>
      <c r="F169" s="42"/>
    </row>
    <row r="170" spans="1:28" ht="31" hidden="1" customHeight="1" outlineLevel="1" x14ac:dyDescent="0.35">
      <c r="A170" s="47"/>
      <c r="B170" s="48" t="s">
        <v>52</v>
      </c>
      <c r="C170" s="49" t="s">
        <v>19</v>
      </c>
      <c r="D170" s="63">
        <f>3.65</f>
        <v>3.65</v>
      </c>
      <c r="E170" s="51"/>
      <c r="F170" s="42"/>
    </row>
    <row r="171" spans="1:28" s="39" customFormat="1" ht="21" customHeight="1" collapsed="1" x14ac:dyDescent="0.35">
      <c r="A171" s="154" t="s">
        <v>60</v>
      </c>
      <c r="B171" s="154"/>
      <c r="C171" s="154"/>
      <c r="D171" s="154"/>
      <c r="E171" s="154"/>
      <c r="F171" s="34"/>
      <c r="G171" s="35"/>
      <c r="H171" s="36"/>
      <c r="I171" s="37"/>
      <c r="J171" s="37"/>
      <c r="K171" s="38"/>
      <c r="L171" s="38"/>
      <c r="M171" s="38"/>
      <c r="N171" s="36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</row>
    <row r="172" spans="1:28" s="39" customFormat="1" ht="36" customHeight="1" x14ac:dyDescent="0.35">
      <c r="A172" s="24">
        <f>A169+1</f>
        <v>71</v>
      </c>
      <c r="B172" s="25" t="s">
        <v>136</v>
      </c>
      <c r="C172" s="26" t="s">
        <v>19</v>
      </c>
      <c r="D172" s="40">
        <v>7.0000000000000007E-2</v>
      </c>
      <c r="E172" s="64"/>
      <c r="F172" s="34"/>
      <c r="G172" s="35"/>
      <c r="H172" s="36"/>
      <c r="I172" s="37"/>
      <c r="J172" s="37"/>
      <c r="K172" s="38"/>
      <c r="L172" s="38"/>
      <c r="M172" s="38"/>
      <c r="N172" s="36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</row>
    <row r="173" spans="1:28" ht="34.5" hidden="1" customHeight="1" outlineLevel="1" x14ac:dyDescent="0.35">
      <c r="A173" s="47"/>
      <c r="B173" s="48" t="s">
        <v>134</v>
      </c>
      <c r="C173" s="75" t="s">
        <v>19</v>
      </c>
      <c r="D173" s="75">
        <v>7.0000000000000007E-2</v>
      </c>
      <c r="E173" s="76"/>
      <c r="F173" s="42"/>
    </row>
    <row r="174" spans="1:28" ht="33" customHeight="1" collapsed="1" x14ac:dyDescent="0.35">
      <c r="A174" s="24">
        <f>A172+1</f>
        <v>72</v>
      </c>
      <c r="B174" s="25" t="s">
        <v>64</v>
      </c>
      <c r="C174" s="26" t="s">
        <v>19</v>
      </c>
      <c r="D174" s="40">
        <v>0.37</v>
      </c>
      <c r="E174" s="41"/>
      <c r="F174" s="53"/>
    </row>
    <row r="175" spans="1:28" ht="34.5" hidden="1" customHeight="1" outlineLevel="1" x14ac:dyDescent="0.35">
      <c r="A175" s="47"/>
      <c r="B175" s="48" t="s">
        <v>137</v>
      </c>
      <c r="C175" s="75" t="s">
        <v>14</v>
      </c>
      <c r="D175" s="77">
        <f>3.91*1/1000</f>
        <v>3.9100000000000003E-3</v>
      </c>
      <c r="E175" s="78"/>
      <c r="F175" s="42"/>
    </row>
    <row r="176" spans="1:28" s="58" customFormat="1" ht="30" hidden="1" customHeight="1" outlineLevel="1" x14ac:dyDescent="0.4">
      <c r="A176" s="54"/>
      <c r="B176" s="48" t="s">
        <v>65</v>
      </c>
      <c r="C176" s="49" t="s">
        <v>19</v>
      </c>
      <c r="D176" s="75">
        <v>0.37</v>
      </c>
      <c r="E176" s="51"/>
      <c r="F176" s="57"/>
    </row>
    <row r="177" spans="1:28" s="58" customFormat="1" ht="30" customHeight="1" collapsed="1" x14ac:dyDescent="0.4">
      <c r="A177" s="24">
        <f>A174+1</f>
        <v>73</v>
      </c>
      <c r="B177" s="59" t="s">
        <v>138</v>
      </c>
      <c r="C177" s="70" t="s">
        <v>67</v>
      </c>
      <c r="D177" s="40" t="s">
        <v>139</v>
      </c>
      <c r="E177" s="66"/>
      <c r="F177" s="57"/>
    </row>
    <row r="178" spans="1:28" s="58" customFormat="1" ht="30" hidden="1" customHeight="1" outlineLevel="1" x14ac:dyDescent="0.4">
      <c r="A178" s="54"/>
      <c r="B178" s="48" t="s">
        <v>140</v>
      </c>
      <c r="C178" s="49" t="s">
        <v>58</v>
      </c>
      <c r="D178" s="55">
        <v>1</v>
      </c>
      <c r="E178" s="51"/>
      <c r="F178" s="57"/>
    </row>
    <row r="179" spans="1:28" s="39" customFormat="1" ht="36" customHeight="1" collapsed="1" x14ac:dyDescent="0.35">
      <c r="A179" s="24">
        <f>A177+1</f>
        <v>74</v>
      </c>
      <c r="B179" s="25" t="s">
        <v>66</v>
      </c>
      <c r="C179" s="26" t="s">
        <v>67</v>
      </c>
      <c r="D179" s="40" t="s">
        <v>141</v>
      </c>
      <c r="E179" s="64"/>
      <c r="F179" s="34"/>
      <c r="G179" s="35"/>
      <c r="H179" s="36"/>
      <c r="I179" s="37"/>
      <c r="J179" s="37"/>
      <c r="K179" s="38"/>
      <c r="L179" s="38"/>
      <c r="M179" s="38"/>
      <c r="N179" s="36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</row>
    <row r="180" spans="1:28" s="58" customFormat="1" ht="30" hidden="1" customHeight="1" outlineLevel="1" x14ac:dyDescent="0.4">
      <c r="A180" s="54"/>
      <c r="B180" s="48" t="s">
        <v>142</v>
      </c>
      <c r="C180" s="49" t="s">
        <v>14</v>
      </c>
      <c r="D180" s="65">
        <f>(3.95+38.13)/1000</f>
        <v>4.2080000000000006E-2</v>
      </c>
      <c r="E180" s="51"/>
      <c r="F180" s="57"/>
    </row>
    <row r="181" spans="1:28" s="58" customFormat="1" ht="30" customHeight="1" collapsed="1" x14ac:dyDescent="0.4">
      <c r="A181" s="24">
        <f>A179+1</f>
        <v>75</v>
      </c>
      <c r="B181" s="59" t="s">
        <v>71</v>
      </c>
      <c r="C181" s="26" t="s">
        <v>67</v>
      </c>
      <c r="D181" s="40" t="s">
        <v>141</v>
      </c>
      <c r="E181" s="66"/>
      <c r="F181" s="57"/>
    </row>
    <row r="182" spans="1:28" ht="36" customHeight="1" x14ac:dyDescent="0.35">
      <c r="A182" s="24">
        <f>A181+1</f>
        <v>76</v>
      </c>
      <c r="B182" s="59" t="s">
        <v>72</v>
      </c>
      <c r="C182" s="26" t="s">
        <v>29</v>
      </c>
      <c r="D182" s="67">
        <f>0.3</f>
        <v>0.3</v>
      </c>
      <c r="E182" s="41"/>
      <c r="F182" s="42"/>
    </row>
    <row r="183" spans="1:28" s="58" customFormat="1" ht="30" hidden="1" customHeight="1" outlineLevel="1" x14ac:dyDescent="0.4">
      <c r="A183" s="54"/>
      <c r="B183" s="48" t="s">
        <v>73</v>
      </c>
      <c r="C183" s="49" t="s">
        <v>74</v>
      </c>
      <c r="D183" s="68">
        <f>3.31*3.5</f>
        <v>11.585000000000001</v>
      </c>
      <c r="E183" s="69">
        <v>1.2E-2</v>
      </c>
      <c r="F183" s="57"/>
    </row>
    <row r="184" spans="1:28" ht="36" customHeight="1" collapsed="1" x14ac:dyDescent="0.35">
      <c r="A184" s="24">
        <f>A182+1</f>
        <v>77</v>
      </c>
      <c r="B184" s="59" t="s">
        <v>75</v>
      </c>
      <c r="C184" s="26" t="s">
        <v>29</v>
      </c>
      <c r="D184" s="67">
        <f>0.3</f>
        <v>0.3</v>
      </c>
      <c r="E184" s="41"/>
      <c r="F184" s="42"/>
    </row>
    <row r="185" spans="1:28" ht="36" customHeight="1" x14ac:dyDescent="0.35">
      <c r="A185" s="24">
        <f>A184+1</f>
        <v>78</v>
      </c>
      <c r="B185" s="59" t="s">
        <v>76</v>
      </c>
      <c r="C185" s="26" t="s">
        <v>29</v>
      </c>
      <c r="D185" s="67">
        <f>0.3</f>
        <v>0.3</v>
      </c>
      <c r="E185" s="41"/>
      <c r="F185" s="42"/>
    </row>
    <row r="186" spans="1:28" s="58" customFormat="1" ht="30" customHeight="1" x14ac:dyDescent="0.4">
      <c r="A186" s="24">
        <f>A185+1</f>
        <v>79</v>
      </c>
      <c r="B186" s="59" t="s">
        <v>77</v>
      </c>
      <c r="C186" s="70" t="s">
        <v>29</v>
      </c>
      <c r="D186" s="67">
        <f>0.3</f>
        <v>0.3</v>
      </c>
      <c r="E186" s="66"/>
      <c r="F186" s="57"/>
    </row>
    <row r="187" spans="1:28" s="58" customFormat="1" ht="30" hidden="1" customHeight="1" outlineLevel="1" x14ac:dyDescent="0.4">
      <c r="A187" s="54"/>
      <c r="B187" s="48" t="s">
        <v>78</v>
      </c>
      <c r="C187" s="49" t="s">
        <v>74</v>
      </c>
      <c r="D187" s="68">
        <f>0.3*0.255</f>
        <v>7.6499999999999999E-2</v>
      </c>
      <c r="E187" s="69">
        <v>1E-3</v>
      </c>
      <c r="F187" s="57"/>
    </row>
    <row r="188" spans="1:28" s="58" customFormat="1" ht="30" customHeight="1" collapsed="1" x14ac:dyDescent="0.4">
      <c r="A188" s="24">
        <f>A186+1</f>
        <v>80</v>
      </c>
      <c r="B188" s="59" t="s">
        <v>79</v>
      </c>
      <c r="C188" s="70" t="s">
        <v>29</v>
      </c>
      <c r="D188" s="67">
        <f>0.3</f>
        <v>0.3</v>
      </c>
      <c r="E188" s="66"/>
      <c r="F188" s="57"/>
    </row>
    <row r="189" spans="1:28" s="58" customFormat="1" ht="30" hidden="1" customHeight="1" outlineLevel="1" x14ac:dyDescent="0.4">
      <c r="A189" s="54"/>
      <c r="B189" s="48" t="s">
        <v>80</v>
      </c>
      <c r="C189" s="49" t="s">
        <v>74</v>
      </c>
      <c r="D189" s="68">
        <f>0.3*0.36*2</f>
        <v>0.216</v>
      </c>
      <c r="E189" s="69">
        <v>3.0000000000000001E-3</v>
      </c>
      <c r="F189" s="57"/>
    </row>
    <row r="190" spans="1:28" s="39" customFormat="1" ht="21" customHeight="1" collapsed="1" x14ac:dyDescent="0.35">
      <c r="A190" s="158" t="s">
        <v>143</v>
      </c>
      <c r="B190" s="158"/>
      <c r="C190" s="158"/>
      <c r="D190" s="158"/>
      <c r="E190" s="158"/>
      <c r="F190" s="34"/>
      <c r="G190" s="35"/>
      <c r="H190" s="36"/>
      <c r="I190" s="37"/>
      <c r="J190" s="37"/>
      <c r="K190" s="38"/>
      <c r="L190" s="38"/>
      <c r="M190" s="38"/>
      <c r="N190" s="36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</row>
    <row r="191" spans="1:28" s="58" customFormat="1" ht="30" customHeight="1" x14ac:dyDescent="0.4">
      <c r="A191" s="24">
        <f>A188+1</f>
        <v>81</v>
      </c>
      <c r="B191" s="59" t="s">
        <v>144</v>
      </c>
      <c r="C191" s="70" t="s">
        <v>58</v>
      </c>
      <c r="D191" s="40">
        <v>1</v>
      </c>
      <c r="E191" s="66"/>
      <c r="F191" s="57"/>
    </row>
    <row r="192" spans="1:28" s="58" customFormat="1" ht="30" customHeight="1" x14ac:dyDescent="0.4">
      <c r="A192" s="24">
        <f>A191+1</f>
        <v>82</v>
      </c>
      <c r="B192" s="59" t="s">
        <v>145</v>
      </c>
      <c r="C192" s="70" t="s">
        <v>58</v>
      </c>
      <c r="D192" s="40">
        <v>1</v>
      </c>
      <c r="E192" s="66"/>
      <c r="F192" s="57"/>
    </row>
    <row r="193" spans="1:203" s="58" customFormat="1" ht="30" customHeight="1" x14ac:dyDescent="0.4">
      <c r="A193" s="24">
        <f>A192+1</f>
        <v>83</v>
      </c>
      <c r="B193" s="59" t="s">
        <v>146</v>
      </c>
      <c r="C193" s="70" t="s">
        <v>58</v>
      </c>
      <c r="D193" s="40">
        <v>1</v>
      </c>
      <c r="E193" s="66"/>
      <c r="F193" s="57"/>
    </row>
    <row r="194" spans="1:203" s="58" customFormat="1" ht="30.9" hidden="1" outlineLevel="1" x14ac:dyDescent="0.4">
      <c r="A194" s="54"/>
      <c r="B194" s="48" t="s">
        <v>147</v>
      </c>
      <c r="C194" s="49" t="s">
        <v>58</v>
      </c>
      <c r="D194" s="55">
        <v>1</v>
      </c>
      <c r="E194" s="51">
        <v>2.8000000000000001E-2</v>
      </c>
      <c r="F194" s="57"/>
    </row>
    <row r="195" spans="1:203" s="58" customFormat="1" ht="30" customHeight="1" collapsed="1" x14ac:dyDescent="0.4">
      <c r="A195" s="24">
        <f>A193+1</f>
        <v>84</v>
      </c>
      <c r="B195" s="59" t="s">
        <v>148</v>
      </c>
      <c r="C195" s="70" t="s">
        <v>58</v>
      </c>
      <c r="D195" s="40">
        <v>1</v>
      </c>
      <c r="E195" s="66"/>
      <c r="F195" s="57"/>
    </row>
    <row r="196" spans="1:203" s="58" customFormat="1" ht="30" hidden="1" customHeight="1" outlineLevel="1" x14ac:dyDescent="0.4">
      <c r="A196" s="54"/>
      <c r="B196" s="48" t="s">
        <v>149</v>
      </c>
      <c r="C196" s="49" t="s">
        <v>58</v>
      </c>
      <c r="D196" s="55">
        <v>1</v>
      </c>
      <c r="E196" s="51">
        <v>5.0000000000000001E-3</v>
      </c>
      <c r="F196" s="57"/>
    </row>
    <row r="197" spans="1:203" s="58" customFormat="1" ht="30.9" collapsed="1" x14ac:dyDescent="0.4">
      <c r="A197" s="72">
        <f>A195+1</f>
        <v>85</v>
      </c>
      <c r="B197" s="59" t="s">
        <v>150</v>
      </c>
      <c r="C197" s="70" t="s">
        <v>132</v>
      </c>
      <c r="D197" s="40">
        <v>0.5</v>
      </c>
      <c r="E197" s="79" t="s">
        <v>151</v>
      </c>
      <c r="F197" s="57"/>
    </row>
    <row r="198" spans="1:203" s="58" customFormat="1" ht="30" hidden="1" customHeight="1" outlineLevel="1" x14ac:dyDescent="0.4">
      <c r="A198" s="54"/>
      <c r="B198" s="48" t="s">
        <v>152</v>
      </c>
      <c r="C198" s="49" t="s">
        <v>14</v>
      </c>
      <c r="D198" s="65">
        <f>0.5*12.23*1.1/1000</f>
        <v>6.7265000000000007E-3</v>
      </c>
      <c r="E198" s="51"/>
      <c r="F198" s="57"/>
    </row>
    <row r="199" spans="1:203" s="58" customFormat="1" ht="30" hidden="1" customHeight="1" outlineLevel="1" x14ac:dyDescent="0.4">
      <c r="A199" s="54"/>
      <c r="B199" s="48" t="s">
        <v>153</v>
      </c>
      <c r="C199" s="49" t="s">
        <v>58</v>
      </c>
      <c r="D199" s="55">
        <v>1</v>
      </c>
      <c r="E199" s="51">
        <v>2E-3</v>
      </c>
      <c r="F199" s="57"/>
    </row>
    <row r="200" spans="1:203" s="58" customFormat="1" ht="30" hidden="1" customHeight="1" outlineLevel="1" x14ac:dyDescent="0.4">
      <c r="A200" s="54"/>
      <c r="B200" s="48" t="s">
        <v>154</v>
      </c>
      <c r="C200" s="49" t="s">
        <v>58</v>
      </c>
      <c r="D200" s="55">
        <v>1</v>
      </c>
      <c r="E200" s="51">
        <v>5.0000000000000001E-3</v>
      </c>
      <c r="F200" s="57"/>
    </row>
    <row r="201" spans="1:203" s="58" customFormat="1" ht="30.9" collapsed="1" x14ac:dyDescent="0.4">
      <c r="A201" s="72">
        <f>A197+1</f>
        <v>86</v>
      </c>
      <c r="B201" s="59" t="s">
        <v>155</v>
      </c>
      <c r="C201" s="70" t="s">
        <v>132</v>
      </c>
      <c r="D201" s="40">
        <v>4</v>
      </c>
      <c r="E201" s="79" t="s">
        <v>151</v>
      </c>
      <c r="F201" s="57"/>
    </row>
    <row r="202" spans="1:203" s="58" customFormat="1" ht="30" hidden="1" customHeight="1" outlineLevel="1" x14ac:dyDescent="0.4">
      <c r="A202" s="54"/>
      <c r="B202" s="48" t="s">
        <v>156</v>
      </c>
      <c r="C202" s="49" t="s">
        <v>14</v>
      </c>
      <c r="D202" s="65">
        <f>4*13.44*1.1/1000</f>
        <v>5.9136000000000001E-2</v>
      </c>
      <c r="E202" s="51"/>
      <c r="F202" s="57"/>
    </row>
    <row r="203" spans="1:203" s="58" customFormat="1" ht="30" hidden="1" customHeight="1" outlineLevel="1" x14ac:dyDescent="0.4">
      <c r="A203" s="54"/>
      <c r="B203" s="48" t="s">
        <v>157</v>
      </c>
      <c r="C203" s="49" t="s">
        <v>58</v>
      </c>
      <c r="D203" s="55">
        <v>3</v>
      </c>
      <c r="E203" s="51">
        <v>0.01</v>
      </c>
      <c r="F203" s="57"/>
    </row>
    <row r="204" spans="1:203" s="58" customFormat="1" ht="30" customHeight="1" collapsed="1" x14ac:dyDescent="0.4">
      <c r="A204" s="72">
        <f>A201+1</f>
        <v>87</v>
      </c>
      <c r="B204" s="59" t="s">
        <v>158</v>
      </c>
      <c r="C204" s="70" t="s">
        <v>67</v>
      </c>
      <c r="D204" s="40" t="s">
        <v>159</v>
      </c>
      <c r="E204" s="66"/>
      <c r="F204" s="57"/>
    </row>
    <row r="205" spans="1:203" s="58" customFormat="1" ht="30" hidden="1" customHeight="1" outlineLevel="1" x14ac:dyDescent="0.4">
      <c r="A205" s="54"/>
      <c r="B205" s="48" t="s">
        <v>160</v>
      </c>
      <c r="C205" s="49" t="s">
        <v>58</v>
      </c>
      <c r="D205" s="55">
        <v>1</v>
      </c>
      <c r="E205" s="51">
        <v>2E-3</v>
      </c>
      <c r="F205" s="57"/>
    </row>
    <row r="206" spans="1:203" s="58" customFormat="1" ht="30" hidden="1" customHeight="1" outlineLevel="1" x14ac:dyDescent="0.4">
      <c r="A206" s="54"/>
      <c r="B206" s="48" t="s">
        <v>161</v>
      </c>
      <c r="C206" s="49" t="s">
        <v>58</v>
      </c>
      <c r="D206" s="55">
        <v>2</v>
      </c>
      <c r="E206" s="51">
        <v>2E-3</v>
      </c>
      <c r="F206" s="57"/>
    </row>
    <row r="207" spans="1:203" s="43" customFormat="1" ht="36" customHeight="1" collapsed="1" x14ac:dyDescent="0.35">
      <c r="A207" s="72">
        <f>A204+1</f>
        <v>88</v>
      </c>
      <c r="B207" s="59" t="s">
        <v>72</v>
      </c>
      <c r="C207" s="26" t="s">
        <v>29</v>
      </c>
      <c r="D207" s="67">
        <f>((0.089*3.14*0.5)+(0.114*3.14*4)+(3.14*0.8*0.5)+(3.14*0.7*0.5)+(3.14*0.8*0.8/4)+(3.14*0.7*0.7/4))</f>
        <v>4.8136199999999993</v>
      </c>
      <c r="E207" s="41"/>
      <c r="F207" s="42"/>
      <c r="H207" s="44"/>
      <c r="K207" s="45"/>
      <c r="L207" s="45"/>
      <c r="M207" s="45"/>
      <c r="N207" s="44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</row>
    <row r="208" spans="1:203" s="58" customFormat="1" ht="30" hidden="1" customHeight="1" outlineLevel="1" x14ac:dyDescent="0.4">
      <c r="A208" s="54"/>
      <c r="B208" s="48" t="s">
        <v>73</v>
      </c>
      <c r="C208" s="49" t="s">
        <v>74</v>
      </c>
      <c r="D208" s="68">
        <f>3.31*D207</f>
        <v>15.933082199999998</v>
      </c>
      <c r="E208" s="69">
        <v>5.0000000000000001E-3</v>
      </c>
      <c r="F208" s="57"/>
    </row>
    <row r="209" spans="1:203" s="43" customFormat="1" ht="36" customHeight="1" collapsed="1" x14ac:dyDescent="0.35">
      <c r="A209" s="72">
        <f>A207+1</f>
        <v>89</v>
      </c>
      <c r="B209" s="59" t="s">
        <v>75</v>
      </c>
      <c r="C209" s="26" t="s">
        <v>29</v>
      </c>
      <c r="D209" s="67">
        <f>((0.089*3.14*0.5)+(0.114*3.14*4)+(3.14*0.8*0.5)+(3.14*0.7*0.5)+(3.14*0.8*0.8/4)+(3.14*0.7*0.7/4))</f>
        <v>4.8136199999999993</v>
      </c>
      <c r="E209" s="41"/>
      <c r="F209" s="42"/>
      <c r="H209" s="44"/>
      <c r="K209" s="45"/>
      <c r="L209" s="45"/>
      <c r="M209" s="45"/>
      <c r="N209" s="44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</row>
    <row r="210" spans="1:203" ht="36" customHeight="1" x14ac:dyDescent="0.35">
      <c r="A210" s="24">
        <f>A209+1</f>
        <v>90</v>
      </c>
      <c r="B210" s="59" t="s">
        <v>76</v>
      </c>
      <c r="C210" s="26" t="s">
        <v>29</v>
      </c>
      <c r="D210" s="67">
        <f>((0.089*3.14*0.5)+(0.114*3.14*4)+(3.14*0.8*0.5)+(3.14*0.7*0.5)+(3.14*0.8*0.8/4)+(3.14*0.7*0.7/4))</f>
        <v>4.8136199999999993</v>
      </c>
      <c r="E210" s="41"/>
      <c r="F210" s="42"/>
    </row>
    <row r="211" spans="1:203" s="58" customFormat="1" ht="30" customHeight="1" x14ac:dyDescent="0.4">
      <c r="A211" s="24">
        <f>A210+1</f>
        <v>91</v>
      </c>
      <c r="B211" s="59" t="s">
        <v>77</v>
      </c>
      <c r="C211" s="70" t="s">
        <v>29</v>
      </c>
      <c r="D211" s="67">
        <f>((0.089*3.14*0.5)+(0.114*3.14*4)+(3.14*0.8*0.5)+(3.14*0.7*0.5)+(3.14*0.8*0.8/4)+(3.14*0.7*0.7/4))</f>
        <v>4.8136199999999993</v>
      </c>
      <c r="E211" s="66"/>
      <c r="F211" s="57"/>
    </row>
    <row r="212" spans="1:203" s="58" customFormat="1" ht="30" hidden="1" customHeight="1" outlineLevel="1" x14ac:dyDescent="0.4">
      <c r="A212" s="54"/>
      <c r="B212" s="48" t="s">
        <v>78</v>
      </c>
      <c r="C212" s="49" t="s">
        <v>74</v>
      </c>
      <c r="D212" s="68">
        <f>D211*0.255</f>
        <v>1.2274730999999999</v>
      </c>
      <c r="E212" s="69">
        <v>1E-3</v>
      </c>
      <c r="F212" s="57"/>
    </row>
    <row r="213" spans="1:203" s="58" customFormat="1" ht="30" customHeight="1" collapsed="1" x14ac:dyDescent="0.4">
      <c r="A213" s="24">
        <f>A211+1</f>
        <v>92</v>
      </c>
      <c r="B213" s="59" t="s">
        <v>79</v>
      </c>
      <c r="C213" s="70" t="s">
        <v>29</v>
      </c>
      <c r="D213" s="67">
        <f>((0.089*3.14*0.5)+(0.114*3.14*4)+(3.14*0.8*0.5)+(3.14*0.7*0.5)+(3.14*0.8*0.8/4)+(3.14*0.7*0.7/4))</f>
        <v>4.8136199999999993</v>
      </c>
      <c r="E213" s="66"/>
      <c r="F213" s="57"/>
    </row>
    <row r="214" spans="1:203" s="58" customFormat="1" ht="30" hidden="1" customHeight="1" outlineLevel="1" x14ac:dyDescent="0.4">
      <c r="A214" s="54"/>
      <c r="B214" s="48" t="s">
        <v>80</v>
      </c>
      <c r="C214" s="49" t="s">
        <v>74</v>
      </c>
      <c r="D214" s="68">
        <f>D213*0.36*2</f>
        <v>3.4658063999999995</v>
      </c>
      <c r="E214" s="69">
        <v>1E-3</v>
      </c>
      <c r="F214" s="57"/>
    </row>
    <row r="215" spans="1:203" s="39" customFormat="1" ht="30" customHeight="1" collapsed="1" x14ac:dyDescent="0.35">
      <c r="A215" s="153" t="s">
        <v>162</v>
      </c>
      <c r="B215" s="153"/>
      <c r="C215" s="153"/>
      <c r="D215" s="153"/>
      <c r="E215" s="153"/>
      <c r="F215" s="34"/>
      <c r="G215" s="35"/>
      <c r="H215" s="36"/>
      <c r="I215" s="37"/>
      <c r="J215" s="37"/>
      <c r="K215" s="38"/>
      <c r="L215" s="38"/>
      <c r="M215" s="38"/>
      <c r="N215" s="36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</row>
    <row r="216" spans="1:203" s="39" customFormat="1" ht="21" customHeight="1" x14ac:dyDescent="0.35">
      <c r="A216" s="158" t="s">
        <v>163</v>
      </c>
      <c r="B216" s="158"/>
      <c r="C216" s="158"/>
      <c r="D216" s="158"/>
      <c r="E216" s="158"/>
      <c r="F216" s="34"/>
      <c r="G216" s="35"/>
      <c r="H216" s="36"/>
      <c r="I216" s="37"/>
      <c r="J216" s="37"/>
      <c r="K216" s="38"/>
      <c r="L216" s="38"/>
      <c r="M216" s="38"/>
      <c r="N216" s="36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</row>
    <row r="217" spans="1:203" ht="30" customHeight="1" x14ac:dyDescent="0.35">
      <c r="A217" s="24">
        <f>A213+1</f>
        <v>93</v>
      </c>
      <c r="B217" s="25" t="s">
        <v>131</v>
      </c>
      <c r="C217" s="26" t="s">
        <v>132</v>
      </c>
      <c r="D217" s="73">
        <v>26</v>
      </c>
      <c r="E217" s="41"/>
      <c r="F217" s="42"/>
    </row>
    <row r="218" spans="1:203" ht="31" hidden="1" customHeight="1" outlineLevel="1" x14ac:dyDescent="0.35">
      <c r="A218" s="47"/>
      <c r="B218" s="48" t="s">
        <v>133</v>
      </c>
      <c r="C218" s="49" t="s">
        <v>58</v>
      </c>
      <c r="D218" s="55">
        <v>26</v>
      </c>
      <c r="E218" s="56">
        <v>2.6</v>
      </c>
      <c r="F218" s="42"/>
    </row>
    <row r="219" spans="1:203" ht="31" hidden="1" customHeight="1" outlineLevel="1" x14ac:dyDescent="0.35">
      <c r="A219" s="74"/>
      <c r="B219" s="48" t="s">
        <v>134</v>
      </c>
      <c r="C219" s="49" t="s">
        <v>19</v>
      </c>
      <c r="D219" s="68">
        <v>1.57</v>
      </c>
      <c r="E219" s="69"/>
      <c r="F219" s="42"/>
    </row>
    <row r="220" spans="1:203" ht="33" customHeight="1" collapsed="1" x14ac:dyDescent="0.35">
      <c r="A220" s="24">
        <f>A217+1</f>
        <v>94</v>
      </c>
      <c r="B220" s="25" t="s">
        <v>164</v>
      </c>
      <c r="C220" s="26" t="s">
        <v>55</v>
      </c>
      <c r="D220" s="40" t="s">
        <v>165</v>
      </c>
      <c r="E220" s="41"/>
      <c r="F220" s="53"/>
    </row>
    <row r="221" spans="1:203" ht="34.5" hidden="1" customHeight="1" outlineLevel="1" x14ac:dyDescent="0.35">
      <c r="A221" s="47"/>
      <c r="B221" s="48" t="s">
        <v>166</v>
      </c>
      <c r="C221" s="75" t="s">
        <v>58</v>
      </c>
      <c r="D221" s="75">
        <v>32</v>
      </c>
      <c r="E221" s="78">
        <v>20.48</v>
      </c>
      <c r="F221" s="42"/>
    </row>
    <row r="222" spans="1:203" ht="33" customHeight="1" collapsed="1" x14ac:dyDescent="0.35">
      <c r="A222" s="24">
        <f>A220+1</f>
        <v>95</v>
      </c>
      <c r="B222" s="25" t="s">
        <v>167</v>
      </c>
      <c r="C222" s="26" t="s">
        <v>55</v>
      </c>
      <c r="D222" s="40" t="s">
        <v>168</v>
      </c>
      <c r="E222" s="41"/>
      <c r="F222" s="53"/>
    </row>
    <row r="223" spans="1:203" ht="34.5" hidden="1" customHeight="1" outlineLevel="1" x14ac:dyDescent="0.35">
      <c r="A223" s="47"/>
      <c r="B223" s="48" t="s">
        <v>169</v>
      </c>
      <c r="C223" s="75" t="s">
        <v>58</v>
      </c>
      <c r="D223" s="75">
        <v>4</v>
      </c>
      <c r="E223" s="78">
        <v>5.2</v>
      </c>
      <c r="F223" s="42"/>
    </row>
    <row r="224" spans="1:203" ht="33" customHeight="1" collapsed="1" x14ac:dyDescent="0.35">
      <c r="A224" s="24">
        <f>A222+1</f>
        <v>96</v>
      </c>
      <c r="B224" s="25" t="s">
        <v>170</v>
      </c>
      <c r="C224" s="26" t="s">
        <v>55</v>
      </c>
      <c r="D224" s="40" t="s">
        <v>171</v>
      </c>
      <c r="E224" s="41"/>
      <c r="F224" s="53"/>
    </row>
    <row r="225" spans="1:28" ht="34.5" hidden="1" customHeight="1" outlineLevel="1" x14ac:dyDescent="0.35">
      <c r="A225" s="47"/>
      <c r="B225" s="48" t="s">
        <v>172</v>
      </c>
      <c r="C225" s="75" t="s">
        <v>58</v>
      </c>
      <c r="D225" s="75">
        <v>4</v>
      </c>
      <c r="E225" s="78">
        <v>1.9</v>
      </c>
      <c r="F225" s="42"/>
    </row>
    <row r="226" spans="1:28" ht="30" customHeight="1" collapsed="1" x14ac:dyDescent="0.35">
      <c r="A226" s="24">
        <f>A224+1</f>
        <v>97</v>
      </c>
      <c r="B226" s="25" t="s">
        <v>135</v>
      </c>
      <c r="C226" s="26" t="s">
        <v>19</v>
      </c>
      <c r="D226" s="40">
        <v>8.25</v>
      </c>
      <c r="E226" s="41"/>
      <c r="F226" s="42"/>
    </row>
    <row r="227" spans="1:28" ht="31" hidden="1" customHeight="1" outlineLevel="1" x14ac:dyDescent="0.35">
      <c r="A227" s="47"/>
      <c r="B227" s="48" t="s">
        <v>52</v>
      </c>
      <c r="C227" s="49" t="s">
        <v>19</v>
      </c>
      <c r="D227" s="63">
        <f>8.25</f>
        <v>8.25</v>
      </c>
      <c r="E227" s="51"/>
      <c r="F227" s="42"/>
    </row>
    <row r="228" spans="1:28" ht="30" customHeight="1" collapsed="1" x14ac:dyDescent="0.35">
      <c r="A228" s="72">
        <f>A226+1</f>
        <v>98</v>
      </c>
      <c r="B228" s="25" t="s">
        <v>53</v>
      </c>
      <c r="C228" s="26" t="s">
        <v>19</v>
      </c>
      <c r="D228" s="62">
        <v>7.63</v>
      </c>
      <c r="E228" s="41"/>
      <c r="F228" s="42"/>
    </row>
    <row r="229" spans="1:28" ht="31" hidden="1" customHeight="1" outlineLevel="1" x14ac:dyDescent="0.35">
      <c r="A229" s="47"/>
      <c r="B229" s="48" t="s">
        <v>173</v>
      </c>
      <c r="C229" s="49" t="s">
        <v>19</v>
      </c>
      <c r="D229" s="63">
        <f>7.63</f>
        <v>7.63</v>
      </c>
      <c r="E229" s="51"/>
      <c r="F229" s="42"/>
    </row>
    <row r="230" spans="1:28" ht="31" customHeight="1" collapsed="1" x14ac:dyDescent="0.35">
      <c r="A230" s="72">
        <f>A228+1</f>
        <v>99</v>
      </c>
      <c r="B230" s="25" t="s">
        <v>174</v>
      </c>
      <c r="C230" s="26" t="s">
        <v>29</v>
      </c>
      <c r="D230" s="80">
        <f>(2.4+2.4+4.77+4.77+1.4+1.4+3.77+3.77)*2.4</f>
        <v>59.231999999999999</v>
      </c>
      <c r="E230" s="41"/>
      <c r="F230" s="42"/>
    </row>
    <row r="231" spans="1:28" ht="31" hidden="1" customHeight="1" outlineLevel="1" x14ac:dyDescent="0.35">
      <c r="A231" s="47"/>
      <c r="B231" s="48" t="s">
        <v>175</v>
      </c>
      <c r="C231" s="49" t="s">
        <v>74</v>
      </c>
      <c r="D231" s="68">
        <f>59.2*2*2</f>
        <v>236.8</v>
      </c>
      <c r="E231" s="69">
        <v>0.23699999999999999</v>
      </c>
      <c r="F231" s="42"/>
    </row>
    <row r="232" spans="1:28" s="39" customFormat="1" ht="21" customHeight="1" collapsed="1" x14ac:dyDescent="0.35">
      <c r="A232" s="154" t="s">
        <v>176</v>
      </c>
      <c r="B232" s="154"/>
      <c r="C232" s="154"/>
      <c r="D232" s="154"/>
      <c r="E232" s="154"/>
      <c r="F232" s="34"/>
      <c r="G232" s="35"/>
      <c r="H232" s="36"/>
      <c r="I232" s="37"/>
      <c r="J232" s="37"/>
      <c r="K232" s="38"/>
      <c r="L232" s="38"/>
      <c r="M232" s="38"/>
      <c r="N232" s="36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</row>
    <row r="233" spans="1:28" s="39" customFormat="1" ht="36" customHeight="1" x14ac:dyDescent="0.35">
      <c r="A233" s="72">
        <f>A230+1</f>
        <v>100</v>
      </c>
      <c r="B233" s="25" t="s">
        <v>136</v>
      </c>
      <c r="C233" s="26" t="s">
        <v>19</v>
      </c>
      <c r="D233" s="40">
        <v>0.13</v>
      </c>
      <c r="E233" s="64"/>
      <c r="F233" s="34"/>
      <c r="G233" s="35"/>
      <c r="H233" s="36"/>
      <c r="I233" s="37"/>
      <c r="J233" s="37"/>
      <c r="K233" s="38"/>
      <c r="L233" s="38"/>
      <c r="M233" s="38"/>
      <c r="N233" s="36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</row>
    <row r="234" spans="1:28" ht="34.5" hidden="1" customHeight="1" outlineLevel="1" x14ac:dyDescent="0.35">
      <c r="A234" s="47"/>
      <c r="B234" s="48" t="s">
        <v>134</v>
      </c>
      <c r="C234" s="75" t="s">
        <v>19</v>
      </c>
      <c r="D234" s="75">
        <v>0.13</v>
      </c>
      <c r="E234" s="76"/>
      <c r="F234" s="42"/>
    </row>
    <row r="235" spans="1:28" ht="33" customHeight="1" collapsed="1" x14ac:dyDescent="0.35">
      <c r="A235" s="24">
        <f>A233+1</f>
        <v>101</v>
      </c>
      <c r="B235" s="25" t="s">
        <v>64</v>
      </c>
      <c r="C235" s="26" t="s">
        <v>19</v>
      </c>
      <c r="D235" s="40">
        <v>0.92</v>
      </c>
      <c r="E235" s="41"/>
      <c r="F235" s="53"/>
    </row>
    <row r="236" spans="1:28" ht="34.5" hidden="1" customHeight="1" outlineLevel="1" x14ac:dyDescent="0.35">
      <c r="A236" s="47"/>
      <c r="B236" s="48" t="s">
        <v>137</v>
      </c>
      <c r="C236" s="75" t="s">
        <v>14</v>
      </c>
      <c r="D236" s="77">
        <f>3.91*2/1000</f>
        <v>7.8200000000000006E-3</v>
      </c>
      <c r="E236" s="78">
        <v>8.9999999999999993E-3</v>
      </c>
      <c r="F236" s="42"/>
    </row>
    <row r="237" spans="1:28" s="58" customFormat="1" ht="30" hidden="1" customHeight="1" outlineLevel="1" x14ac:dyDescent="0.4">
      <c r="A237" s="54"/>
      <c r="B237" s="48" t="s">
        <v>65</v>
      </c>
      <c r="C237" s="49" t="s">
        <v>19</v>
      </c>
      <c r="D237" s="75">
        <f>0.46*2</f>
        <v>0.92</v>
      </c>
      <c r="E237" s="51"/>
      <c r="F237" s="57"/>
    </row>
    <row r="238" spans="1:28" s="58" customFormat="1" ht="30" customHeight="1" collapsed="1" x14ac:dyDescent="0.4">
      <c r="A238" s="24">
        <f>A235+1</f>
        <v>102</v>
      </c>
      <c r="B238" s="59" t="s">
        <v>138</v>
      </c>
      <c r="C238" s="70" t="s">
        <v>67</v>
      </c>
      <c r="D238" s="40" t="s">
        <v>177</v>
      </c>
      <c r="E238" s="66"/>
      <c r="F238" s="57"/>
    </row>
    <row r="239" spans="1:28" s="58" customFormat="1" ht="30" hidden="1" customHeight="1" outlineLevel="1" x14ac:dyDescent="0.4">
      <c r="A239" s="54"/>
      <c r="B239" s="48" t="s">
        <v>140</v>
      </c>
      <c r="C239" s="49" t="s">
        <v>58</v>
      </c>
      <c r="D239" s="55">
        <v>2</v>
      </c>
      <c r="E239" s="51">
        <v>7.0000000000000001E-3</v>
      </c>
      <c r="F239" s="57"/>
    </row>
    <row r="240" spans="1:28" s="39" customFormat="1" ht="36" customHeight="1" collapsed="1" x14ac:dyDescent="0.35">
      <c r="A240" s="24">
        <f>A238+1</f>
        <v>103</v>
      </c>
      <c r="B240" s="25" t="s">
        <v>66</v>
      </c>
      <c r="C240" s="26" t="s">
        <v>67</v>
      </c>
      <c r="D240" s="40" t="s">
        <v>178</v>
      </c>
      <c r="E240" s="64"/>
      <c r="F240" s="34"/>
      <c r="G240" s="35"/>
      <c r="H240" s="36"/>
      <c r="I240" s="37"/>
      <c r="J240" s="37"/>
      <c r="K240" s="38"/>
      <c r="L240" s="38"/>
      <c r="M240" s="38"/>
      <c r="N240" s="36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</row>
    <row r="241" spans="1:28" s="58" customFormat="1" ht="30" hidden="1" customHeight="1" outlineLevel="1" x14ac:dyDescent="0.4">
      <c r="A241" s="54"/>
      <c r="B241" s="48" t="s">
        <v>179</v>
      </c>
      <c r="C241" s="49" t="s">
        <v>14</v>
      </c>
      <c r="D241" s="65">
        <f>(15.98)*2/1000</f>
        <v>3.1960000000000002E-2</v>
      </c>
      <c r="E241" s="51">
        <v>3.2000000000000001E-2</v>
      </c>
      <c r="F241" s="57"/>
    </row>
    <row r="242" spans="1:28" s="58" customFormat="1" ht="30" hidden="1" customHeight="1" outlineLevel="1" x14ac:dyDescent="0.4">
      <c r="A242" s="54"/>
      <c r="B242" s="48" t="s">
        <v>117</v>
      </c>
      <c r="C242" s="49" t="s">
        <v>14</v>
      </c>
      <c r="D242" s="65">
        <f>(7.07+3.16)*2/1000</f>
        <v>2.0460000000000002E-2</v>
      </c>
      <c r="E242" s="51">
        <v>0.02</v>
      </c>
      <c r="F242" s="57"/>
    </row>
    <row r="243" spans="1:28" s="58" customFormat="1" ht="30" customHeight="1" collapsed="1" x14ac:dyDescent="0.4">
      <c r="A243" s="24">
        <f>A240+1</f>
        <v>104</v>
      </c>
      <c r="B243" s="59" t="s">
        <v>71</v>
      </c>
      <c r="C243" s="26" t="s">
        <v>67</v>
      </c>
      <c r="D243" s="40" t="s">
        <v>178</v>
      </c>
      <c r="E243" s="66"/>
      <c r="F243" s="57"/>
    </row>
    <row r="244" spans="1:28" ht="36" customHeight="1" x14ac:dyDescent="0.35">
      <c r="A244" s="24">
        <f>A243+1</f>
        <v>105</v>
      </c>
      <c r="B244" s="59" t="s">
        <v>72</v>
      </c>
      <c r="C244" s="26" t="s">
        <v>29</v>
      </c>
      <c r="D244" s="67">
        <f>((3.14*0.89*0.3)+(0.3*0.3*2)+(0.1*0.1*4*2))*2</f>
        <v>2.1967600000000003</v>
      </c>
      <c r="E244" s="41"/>
      <c r="F244" s="42"/>
    </row>
    <row r="245" spans="1:28" s="58" customFormat="1" ht="30" hidden="1" customHeight="1" outlineLevel="1" x14ac:dyDescent="0.4">
      <c r="A245" s="54"/>
      <c r="B245" s="48" t="s">
        <v>73</v>
      </c>
      <c r="C245" s="49" t="s">
        <v>74</v>
      </c>
      <c r="D245" s="68">
        <f>3.31*2.2</f>
        <v>7.2820000000000009</v>
      </c>
      <c r="E245" s="69">
        <v>7.0000000000000001E-3</v>
      </c>
      <c r="F245" s="57"/>
    </row>
    <row r="246" spans="1:28" ht="36" customHeight="1" collapsed="1" x14ac:dyDescent="0.35">
      <c r="A246" s="24">
        <f>A244+1</f>
        <v>106</v>
      </c>
      <c r="B246" s="59" t="s">
        <v>75</v>
      </c>
      <c r="C246" s="26" t="s">
        <v>29</v>
      </c>
      <c r="D246" s="67">
        <f>((3.14*0.89*0.3)+(0.3*0.3*2)+(0.1*0.1*4*2))*2</f>
        <v>2.1967600000000003</v>
      </c>
      <c r="E246" s="41"/>
      <c r="F246" s="42"/>
    </row>
    <row r="247" spans="1:28" ht="36" customHeight="1" x14ac:dyDescent="0.35">
      <c r="A247" s="24">
        <f>A246+1</f>
        <v>107</v>
      </c>
      <c r="B247" s="59" t="s">
        <v>76</v>
      </c>
      <c r="C247" s="26" t="s">
        <v>29</v>
      </c>
      <c r="D247" s="67">
        <f>((3.14*0.89*0.3)+(0.3*0.3*2)+(0.1*0.1*4*2))*2</f>
        <v>2.1967600000000003</v>
      </c>
      <c r="E247" s="41"/>
      <c r="F247" s="42"/>
    </row>
    <row r="248" spans="1:28" s="58" customFormat="1" ht="30" customHeight="1" x14ac:dyDescent="0.4">
      <c r="A248" s="24">
        <f>A247+1</f>
        <v>108</v>
      </c>
      <c r="B248" s="59" t="s">
        <v>77</v>
      </c>
      <c r="C248" s="70" t="s">
        <v>29</v>
      </c>
      <c r="D248" s="67">
        <f>((3.14*0.89*0.3)+(0.3*0.3*2)+(0.1*0.1*4*2))*2</f>
        <v>2.1967600000000003</v>
      </c>
      <c r="E248" s="66"/>
      <c r="F248" s="57"/>
    </row>
    <row r="249" spans="1:28" s="58" customFormat="1" ht="30" hidden="1" customHeight="1" outlineLevel="1" x14ac:dyDescent="0.4">
      <c r="A249" s="54"/>
      <c r="B249" s="48" t="s">
        <v>78</v>
      </c>
      <c r="C249" s="49" t="s">
        <v>74</v>
      </c>
      <c r="D249" s="68">
        <f>2.2*0.255</f>
        <v>0.56100000000000005</v>
      </c>
      <c r="E249" s="69">
        <v>1E-3</v>
      </c>
      <c r="F249" s="57"/>
    </row>
    <row r="250" spans="1:28" s="58" customFormat="1" ht="30" customHeight="1" collapsed="1" x14ac:dyDescent="0.4">
      <c r="A250" s="24">
        <f>A248+1</f>
        <v>109</v>
      </c>
      <c r="B250" s="59" t="s">
        <v>79</v>
      </c>
      <c r="C250" s="70" t="s">
        <v>29</v>
      </c>
      <c r="D250" s="67">
        <f>((3.14*0.89*0.3)+(0.3*0.3*2)+(0.1*0.1*4*2))*2</f>
        <v>2.1967600000000003</v>
      </c>
      <c r="E250" s="66"/>
      <c r="F250" s="57"/>
    </row>
    <row r="251" spans="1:28" s="58" customFormat="1" ht="30" hidden="1" customHeight="1" outlineLevel="1" x14ac:dyDescent="0.4">
      <c r="A251" s="54"/>
      <c r="B251" s="48" t="s">
        <v>80</v>
      </c>
      <c r="C251" s="49" t="s">
        <v>74</v>
      </c>
      <c r="D251" s="68">
        <f>2.2*0.36*2</f>
        <v>1.5840000000000001</v>
      </c>
      <c r="E251" s="69">
        <v>2E-3</v>
      </c>
      <c r="F251" s="57"/>
    </row>
    <row r="252" spans="1:28" s="39" customFormat="1" ht="21" customHeight="1" collapsed="1" x14ac:dyDescent="0.35">
      <c r="A252" s="158" t="s">
        <v>180</v>
      </c>
      <c r="B252" s="158"/>
      <c r="C252" s="158"/>
      <c r="D252" s="158"/>
      <c r="E252" s="158"/>
      <c r="F252" s="34"/>
      <c r="G252" s="35"/>
      <c r="H252" s="36"/>
      <c r="I252" s="37"/>
      <c r="J252" s="37"/>
      <c r="K252" s="38"/>
      <c r="L252" s="38"/>
      <c r="M252" s="38"/>
      <c r="N252" s="36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</row>
    <row r="253" spans="1:28" s="39" customFormat="1" ht="21" customHeight="1" x14ac:dyDescent="0.35">
      <c r="A253" s="154" t="s">
        <v>181</v>
      </c>
      <c r="B253" s="154"/>
      <c r="C253" s="154"/>
      <c r="D253" s="154"/>
      <c r="E253" s="154"/>
      <c r="F253" s="34"/>
      <c r="G253" s="35"/>
      <c r="H253" s="36"/>
      <c r="I253" s="37"/>
      <c r="J253" s="37"/>
      <c r="K253" s="38"/>
      <c r="L253" s="38"/>
      <c r="M253" s="38"/>
      <c r="N253" s="36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</row>
    <row r="254" spans="1:28" s="58" customFormat="1" ht="30" customHeight="1" x14ac:dyDescent="0.4">
      <c r="A254" s="24">
        <f>A250+1</f>
        <v>110</v>
      </c>
      <c r="B254" s="59" t="s">
        <v>109</v>
      </c>
      <c r="C254" s="70" t="s">
        <v>14</v>
      </c>
      <c r="D254" s="27">
        <v>0.50800000000000001</v>
      </c>
      <c r="E254" s="66"/>
      <c r="F254" s="57"/>
    </row>
    <row r="255" spans="1:28" s="58" customFormat="1" ht="30" hidden="1" customHeight="1" outlineLevel="1" x14ac:dyDescent="0.4">
      <c r="A255" s="54"/>
      <c r="B255" s="48" t="s">
        <v>112</v>
      </c>
      <c r="C255" s="49" t="s">
        <v>14</v>
      </c>
      <c r="D255" s="65">
        <f>20.16*2/1000</f>
        <v>4.0320000000000002E-2</v>
      </c>
      <c r="E255" s="51"/>
      <c r="F255" s="57"/>
    </row>
    <row r="256" spans="1:28" s="58" customFormat="1" ht="30" hidden="1" customHeight="1" outlineLevel="1" x14ac:dyDescent="0.4">
      <c r="A256" s="54"/>
      <c r="B256" s="48" t="s">
        <v>114</v>
      </c>
      <c r="C256" s="49" t="s">
        <v>14</v>
      </c>
      <c r="D256" s="65">
        <f>((6.64+1.66+8.29+11.27+30.537+11.57))*2/1000</f>
        <v>0.13993399999999998</v>
      </c>
      <c r="E256" s="51"/>
      <c r="F256" s="57"/>
    </row>
    <row r="257" spans="1:28" s="58" customFormat="1" ht="30" hidden="1" customHeight="1" outlineLevel="1" x14ac:dyDescent="0.4">
      <c r="A257" s="54"/>
      <c r="B257" s="48" t="s">
        <v>110</v>
      </c>
      <c r="C257" s="49" t="s">
        <v>14</v>
      </c>
      <c r="D257" s="65">
        <f>(6.85+32.04)*2/1000</f>
        <v>7.7780000000000002E-2</v>
      </c>
      <c r="E257" s="51"/>
      <c r="F257" s="57"/>
    </row>
    <row r="258" spans="1:28" s="58" customFormat="1" ht="30" hidden="1" customHeight="1" outlineLevel="1" x14ac:dyDescent="0.4">
      <c r="A258" s="54"/>
      <c r="B258" s="48" t="s">
        <v>182</v>
      </c>
      <c r="C258" s="49" t="s">
        <v>14</v>
      </c>
      <c r="D258" s="65">
        <f>11.48*2/1000</f>
        <v>2.2960000000000001E-2</v>
      </c>
      <c r="E258" s="51"/>
      <c r="F258" s="57"/>
    </row>
    <row r="259" spans="1:28" s="58" customFormat="1" ht="30" hidden="1" customHeight="1" outlineLevel="1" x14ac:dyDescent="0.4">
      <c r="A259" s="54"/>
      <c r="B259" s="48" t="s">
        <v>183</v>
      </c>
      <c r="C259" s="49" t="s">
        <v>14</v>
      </c>
      <c r="D259" s="65">
        <f>(2.96+7.28)*2/1000</f>
        <v>2.0480000000000002E-2</v>
      </c>
      <c r="E259" s="51"/>
      <c r="F259" s="57"/>
    </row>
    <row r="260" spans="1:28" s="58" customFormat="1" ht="30" hidden="1" customHeight="1" outlineLevel="1" x14ac:dyDescent="0.4">
      <c r="A260" s="54"/>
      <c r="B260" s="48" t="s">
        <v>184</v>
      </c>
      <c r="C260" s="49" t="s">
        <v>14</v>
      </c>
      <c r="D260" s="65">
        <f>(6.26+13.66)*2/1000</f>
        <v>3.984E-2</v>
      </c>
      <c r="E260" s="51"/>
      <c r="F260" s="57"/>
    </row>
    <row r="261" spans="1:28" s="58" customFormat="1" ht="30" hidden="1" customHeight="1" outlineLevel="1" x14ac:dyDescent="0.4">
      <c r="A261" s="54"/>
      <c r="B261" s="48" t="s">
        <v>185</v>
      </c>
      <c r="C261" s="49" t="s">
        <v>14</v>
      </c>
      <c r="D261" s="65">
        <f>2.14*2/1000</f>
        <v>4.28E-3</v>
      </c>
      <c r="E261" s="51"/>
      <c r="F261" s="57"/>
    </row>
    <row r="262" spans="1:28" s="58" customFormat="1" ht="30" hidden="1" customHeight="1" outlineLevel="1" x14ac:dyDescent="0.4">
      <c r="A262" s="54"/>
      <c r="B262" s="48" t="s">
        <v>186</v>
      </c>
      <c r="C262" s="49" t="s">
        <v>14</v>
      </c>
      <c r="D262" s="65">
        <f>81.12*2/1000</f>
        <v>0.16224</v>
      </c>
      <c r="E262" s="51"/>
      <c r="F262" s="57"/>
    </row>
    <row r="263" spans="1:28" s="58" customFormat="1" ht="30" customHeight="1" collapsed="1" x14ac:dyDescent="0.4">
      <c r="A263" s="24">
        <f>A254+1</f>
        <v>111</v>
      </c>
      <c r="B263" s="59" t="s">
        <v>118</v>
      </c>
      <c r="C263" s="70" t="s">
        <v>14</v>
      </c>
      <c r="D263" s="27">
        <v>0.50800000000000001</v>
      </c>
      <c r="E263" s="66"/>
      <c r="F263" s="57"/>
    </row>
    <row r="264" spans="1:28" ht="30" customHeight="1" x14ac:dyDescent="0.35">
      <c r="A264" s="72">
        <f>A263+1</f>
        <v>112</v>
      </c>
      <c r="B264" s="25" t="s">
        <v>108</v>
      </c>
      <c r="C264" s="26" t="s">
        <v>19</v>
      </c>
      <c r="D264" s="67">
        <f>0.26*2</f>
        <v>0.52</v>
      </c>
      <c r="E264" s="41"/>
      <c r="F264" s="42"/>
    </row>
    <row r="265" spans="1:28" ht="30" hidden="1" customHeight="1" outlineLevel="1" x14ac:dyDescent="0.35">
      <c r="A265" s="47"/>
      <c r="B265" s="48" t="s">
        <v>52</v>
      </c>
      <c r="C265" s="49" t="s">
        <v>19</v>
      </c>
      <c r="D265" s="50">
        <f>0.52</f>
        <v>0.52</v>
      </c>
      <c r="E265" s="51"/>
      <c r="F265" s="42"/>
    </row>
    <row r="266" spans="1:28" s="39" customFormat="1" ht="36" customHeight="1" collapsed="1" x14ac:dyDescent="0.35">
      <c r="A266" s="72">
        <f>A264+1</f>
        <v>113</v>
      </c>
      <c r="B266" s="25" t="s">
        <v>136</v>
      </c>
      <c r="C266" s="26" t="s">
        <v>19</v>
      </c>
      <c r="D266" s="40">
        <f>0.09*2</f>
        <v>0.18</v>
      </c>
      <c r="E266" s="64"/>
      <c r="F266" s="34"/>
      <c r="G266" s="35"/>
      <c r="H266" s="36"/>
      <c r="I266" s="37"/>
      <c r="J266" s="37"/>
      <c r="K266" s="38"/>
      <c r="L266" s="38"/>
      <c r="M266" s="38"/>
      <c r="N266" s="36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</row>
    <row r="267" spans="1:28" ht="30" hidden="1" customHeight="1" outlineLevel="1" x14ac:dyDescent="0.35">
      <c r="A267" s="47"/>
      <c r="B267" s="48" t="s">
        <v>134</v>
      </c>
      <c r="C267" s="75" t="s">
        <v>19</v>
      </c>
      <c r="D267" s="75">
        <v>0.18</v>
      </c>
      <c r="E267" s="76"/>
      <c r="F267" s="42"/>
    </row>
    <row r="268" spans="1:28" ht="36" customHeight="1" collapsed="1" x14ac:dyDescent="0.35">
      <c r="A268" s="72">
        <f>A266+1</f>
        <v>114</v>
      </c>
      <c r="B268" s="59" t="s">
        <v>187</v>
      </c>
      <c r="C268" s="26" t="s">
        <v>19</v>
      </c>
      <c r="D268" s="62">
        <f>0.24*2</f>
        <v>0.48</v>
      </c>
      <c r="E268" s="41"/>
      <c r="F268" s="42"/>
    </row>
    <row r="269" spans="1:28" s="58" customFormat="1" ht="30" hidden="1" customHeight="1" outlineLevel="1" x14ac:dyDescent="0.4">
      <c r="A269" s="54"/>
      <c r="B269" s="48" t="s">
        <v>65</v>
      </c>
      <c r="C269" s="49" t="s">
        <v>19</v>
      </c>
      <c r="D269" s="81">
        <v>0.48</v>
      </c>
      <c r="E269" s="69"/>
      <c r="F269" s="57"/>
    </row>
    <row r="270" spans="1:28" s="39" customFormat="1" ht="36" customHeight="1" collapsed="1" x14ac:dyDescent="0.35">
      <c r="A270" s="24">
        <f>A268+1</f>
        <v>115</v>
      </c>
      <c r="B270" s="25" t="s">
        <v>66</v>
      </c>
      <c r="C270" s="26" t="s">
        <v>67</v>
      </c>
      <c r="D270" s="40" t="s">
        <v>188</v>
      </c>
      <c r="E270" s="64"/>
      <c r="F270" s="34"/>
      <c r="G270" s="35"/>
      <c r="H270" s="36"/>
      <c r="I270" s="37"/>
      <c r="J270" s="37"/>
      <c r="K270" s="38"/>
      <c r="L270" s="38"/>
      <c r="M270" s="38"/>
      <c r="N270" s="36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</row>
    <row r="271" spans="1:28" s="58" customFormat="1" ht="30" hidden="1" customHeight="1" outlineLevel="1" x14ac:dyDescent="0.4">
      <c r="A271" s="54"/>
      <c r="B271" s="48" t="s">
        <v>189</v>
      </c>
      <c r="C271" s="49" t="s">
        <v>14</v>
      </c>
      <c r="D271" s="65">
        <f>(36.57)*2/1000</f>
        <v>7.3139999999999997E-2</v>
      </c>
      <c r="E271" s="51">
        <v>7.2999999999999995E-2</v>
      </c>
      <c r="F271" s="57"/>
    </row>
    <row r="272" spans="1:28" s="58" customFormat="1" ht="37.5" customHeight="1" collapsed="1" x14ac:dyDescent="0.4">
      <c r="A272" s="24">
        <f>A270+1</f>
        <v>116</v>
      </c>
      <c r="B272" s="59" t="s">
        <v>138</v>
      </c>
      <c r="C272" s="70" t="s">
        <v>67</v>
      </c>
      <c r="D272" s="40" t="s">
        <v>188</v>
      </c>
      <c r="E272" s="66"/>
      <c r="F272" s="57"/>
    </row>
    <row r="273" spans="1:28" ht="36" customHeight="1" x14ac:dyDescent="0.35">
      <c r="A273" s="24">
        <f>A272+1</f>
        <v>117</v>
      </c>
      <c r="B273" s="59" t="s">
        <v>72</v>
      </c>
      <c r="C273" s="26" t="s">
        <v>29</v>
      </c>
      <c r="D273" s="67">
        <f>((0.43*29)+4.08)*2</f>
        <v>33.1</v>
      </c>
      <c r="E273" s="41"/>
      <c r="F273" s="42"/>
    </row>
    <row r="274" spans="1:28" s="58" customFormat="1" ht="30" hidden="1" customHeight="1" outlineLevel="1" x14ac:dyDescent="0.4">
      <c r="A274" s="54"/>
      <c r="B274" s="48" t="s">
        <v>73</v>
      </c>
      <c r="C274" s="49" t="s">
        <v>74</v>
      </c>
      <c r="D274" s="68">
        <f>3.31*33.1</f>
        <v>109.56100000000001</v>
      </c>
      <c r="E274" s="69">
        <v>0.11</v>
      </c>
      <c r="F274" s="57"/>
    </row>
    <row r="275" spans="1:28" ht="36" customHeight="1" collapsed="1" x14ac:dyDescent="0.35">
      <c r="A275" s="24">
        <f>A273+1</f>
        <v>118</v>
      </c>
      <c r="B275" s="59" t="s">
        <v>75</v>
      </c>
      <c r="C275" s="26" t="s">
        <v>29</v>
      </c>
      <c r="D275" s="67">
        <f>((0.43*29)+4.08)*2</f>
        <v>33.1</v>
      </c>
      <c r="E275" s="41"/>
      <c r="F275" s="42"/>
    </row>
    <row r="276" spans="1:28" ht="36" customHeight="1" x14ac:dyDescent="0.35">
      <c r="A276" s="24">
        <f>A275+1</f>
        <v>119</v>
      </c>
      <c r="B276" s="59" t="s">
        <v>76</v>
      </c>
      <c r="C276" s="26" t="s">
        <v>29</v>
      </c>
      <c r="D276" s="67">
        <f>((0.43*29)+4.08)*2</f>
        <v>33.1</v>
      </c>
      <c r="E276" s="41"/>
      <c r="F276" s="42"/>
    </row>
    <row r="277" spans="1:28" s="58" customFormat="1" ht="30" customHeight="1" x14ac:dyDescent="0.4">
      <c r="A277" s="24">
        <f>A276+1</f>
        <v>120</v>
      </c>
      <c r="B277" s="59" t="s">
        <v>77</v>
      </c>
      <c r="C277" s="70" t="s">
        <v>29</v>
      </c>
      <c r="D277" s="67">
        <f>((0.43*29)+4.08)*2</f>
        <v>33.1</v>
      </c>
      <c r="E277" s="66"/>
      <c r="F277" s="57"/>
    </row>
    <row r="278" spans="1:28" s="58" customFormat="1" ht="30" hidden="1" customHeight="1" outlineLevel="1" x14ac:dyDescent="0.4">
      <c r="A278" s="54"/>
      <c r="B278" s="48" t="s">
        <v>78</v>
      </c>
      <c r="C278" s="49" t="s">
        <v>74</v>
      </c>
      <c r="D278" s="68">
        <f>33.1*0.255</f>
        <v>8.4405000000000001</v>
      </c>
      <c r="E278" s="69">
        <v>8.0000000000000002E-3</v>
      </c>
      <c r="F278" s="57"/>
    </row>
    <row r="279" spans="1:28" s="58" customFormat="1" ht="30" customHeight="1" collapsed="1" x14ac:dyDescent="0.4">
      <c r="A279" s="24">
        <f>A277+1</f>
        <v>121</v>
      </c>
      <c r="B279" s="59" t="s">
        <v>79</v>
      </c>
      <c r="C279" s="70" t="s">
        <v>29</v>
      </c>
      <c r="D279" s="67">
        <f>((0.43*29)+4.08)*2</f>
        <v>33.1</v>
      </c>
      <c r="E279" s="66"/>
      <c r="F279" s="57"/>
    </row>
    <row r="280" spans="1:28" s="58" customFormat="1" ht="30" hidden="1" customHeight="1" outlineLevel="1" x14ac:dyDescent="0.4">
      <c r="A280" s="54"/>
      <c r="B280" s="48" t="s">
        <v>80</v>
      </c>
      <c r="C280" s="49" t="s">
        <v>74</v>
      </c>
      <c r="D280" s="68">
        <f>33.1*0.36*2</f>
        <v>23.832000000000001</v>
      </c>
      <c r="E280" s="69">
        <v>2.4E-2</v>
      </c>
      <c r="F280" s="57"/>
    </row>
    <row r="281" spans="1:28" s="39" customFormat="1" ht="21" customHeight="1" collapsed="1" x14ac:dyDescent="0.35">
      <c r="A281" s="158" t="s">
        <v>190</v>
      </c>
      <c r="B281" s="158"/>
      <c r="C281" s="158"/>
      <c r="D281" s="158"/>
      <c r="E281" s="158"/>
      <c r="F281" s="34"/>
      <c r="G281" s="35"/>
      <c r="H281" s="36"/>
      <c r="I281" s="37"/>
      <c r="J281" s="37"/>
      <c r="K281" s="38"/>
      <c r="L281" s="38"/>
      <c r="M281" s="38"/>
      <c r="N281" s="36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</row>
    <row r="282" spans="1:28" ht="36" customHeight="1" x14ac:dyDescent="0.35">
      <c r="A282" s="24">
        <f>A279+1</f>
        <v>122</v>
      </c>
      <c r="B282" s="59" t="s">
        <v>191</v>
      </c>
      <c r="C282" s="26" t="s">
        <v>58</v>
      </c>
      <c r="D282" s="82">
        <v>1</v>
      </c>
      <c r="E282" s="41"/>
      <c r="F282" s="42"/>
    </row>
    <row r="283" spans="1:28" s="58" customFormat="1" ht="30" hidden="1" customHeight="1" outlineLevel="1" x14ac:dyDescent="0.4">
      <c r="A283" s="54"/>
      <c r="B283" s="48" t="s">
        <v>192</v>
      </c>
      <c r="C283" s="49" t="s">
        <v>58</v>
      </c>
      <c r="D283" s="55">
        <v>1</v>
      </c>
      <c r="E283" s="69">
        <v>4.7</v>
      </c>
      <c r="F283" s="57"/>
    </row>
    <row r="284" spans="1:28" s="58" customFormat="1" ht="30" customHeight="1" collapsed="1" x14ac:dyDescent="0.4">
      <c r="A284" s="24">
        <f>A282+1</f>
        <v>123</v>
      </c>
      <c r="B284" s="59" t="s">
        <v>193</v>
      </c>
      <c r="C284" s="70" t="s">
        <v>58</v>
      </c>
      <c r="D284" s="40">
        <v>2</v>
      </c>
      <c r="E284" s="66"/>
      <c r="F284" s="57"/>
    </row>
    <row r="285" spans="1:28" s="58" customFormat="1" ht="30" customHeight="1" x14ac:dyDescent="0.4">
      <c r="A285" s="24">
        <f>A284+1</f>
        <v>124</v>
      </c>
      <c r="B285" s="59" t="s">
        <v>194</v>
      </c>
      <c r="C285" s="70" t="s">
        <v>58</v>
      </c>
      <c r="D285" s="40">
        <v>1</v>
      </c>
      <c r="E285" s="66"/>
      <c r="F285" s="57"/>
    </row>
    <row r="286" spans="1:28" s="58" customFormat="1" ht="30.9" hidden="1" outlineLevel="1" x14ac:dyDescent="0.4">
      <c r="A286" s="54"/>
      <c r="B286" s="48" t="s">
        <v>195</v>
      </c>
      <c r="C286" s="49" t="s">
        <v>58</v>
      </c>
      <c r="D286" s="55">
        <v>1</v>
      </c>
      <c r="E286" s="51">
        <v>1.2999999999999999E-2</v>
      </c>
      <c r="F286" s="57"/>
    </row>
    <row r="287" spans="1:28" s="58" customFormat="1" ht="30" customHeight="1" collapsed="1" x14ac:dyDescent="0.4">
      <c r="A287" s="72">
        <f>A285+1</f>
        <v>125</v>
      </c>
      <c r="B287" s="59" t="s">
        <v>196</v>
      </c>
      <c r="C287" s="70" t="s">
        <v>58</v>
      </c>
      <c r="D287" s="40">
        <v>2</v>
      </c>
      <c r="E287" s="66"/>
      <c r="F287" s="57"/>
    </row>
    <row r="288" spans="1:28" s="58" customFormat="1" ht="48.75" hidden="1" customHeight="1" outlineLevel="1" x14ac:dyDescent="0.4">
      <c r="A288" s="54"/>
      <c r="B288" s="48" t="s">
        <v>197</v>
      </c>
      <c r="C288" s="49" t="s">
        <v>58</v>
      </c>
      <c r="D288" s="55">
        <v>1</v>
      </c>
      <c r="E288" s="51">
        <v>9.9000000000000005E-2</v>
      </c>
      <c r="F288" s="57"/>
    </row>
    <row r="289" spans="1:203" s="58" customFormat="1" ht="30.9" hidden="1" outlineLevel="1" x14ac:dyDescent="0.4">
      <c r="A289" s="54"/>
      <c r="B289" s="48" t="s">
        <v>198</v>
      </c>
      <c r="C289" s="49" t="s">
        <v>58</v>
      </c>
      <c r="D289" s="55">
        <v>1</v>
      </c>
      <c r="E289" s="51">
        <v>2.8000000000000001E-2</v>
      </c>
      <c r="F289" s="57"/>
    </row>
    <row r="290" spans="1:203" s="58" customFormat="1" ht="30.9" collapsed="1" x14ac:dyDescent="0.4">
      <c r="A290" s="72">
        <f>A287+1</f>
        <v>126</v>
      </c>
      <c r="B290" s="59" t="s">
        <v>199</v>
      </c>
      <c r="C290" s="70" t="s">
        <v>132</v>
      </c>
      <c r="D290" s="40">
        <v>1.8</v>
      </c>
      <c r="E290" s="79" t="s">
        <v>151</v>
      </c>
      <c r="F290" s="57"/>
    </row>
    <row r="291" spans="1:203" s="58" customFormat="1" ht="30" hidden="1" customHeight="1" outlineLevel="1" x14ac:dyDescent="0.4">
      <c r="A291" s="54"/>
      <c r="B291" s="48" t="s">
        <v>200</v>
      </c>
      <c r="C291" s="49" t="s">
        <v>14</v>
      </c>
      <c r="D291" s="65">
        <f>1.8*2.76*1.1/1000</f>
        <v>5.4648000000000006E-3</v>
      </c>
      <c r="E291" s="51"/>
      <c r="F291" s="57"/>
    </row>
    <row r="292" spans="1:203" s="58" customFormat="1" ht="30.9" collapsed="1" x14ac:dyDescent="0.4">
      <c r="A292" s="72">
        <f>A290+1</f>
        <v>127</v>
      </c>
      <c r="B292" s="59" t="s">
        <v>201</v>
      </c>
      <c r="C292" s="70" t="s">
        <v>132</v>
      </c>
      <c r="D292" s="40">
        <v>1.7</v>
      </c>
      <c r="E292" s="79" t="s">
        <v>151</v>
      </c>
      <c r="F292" s="57"/>
    </row>
    <row r="293" spans="1:203" s="58" customFormat="1" ht="30" hidden="1" customHeight="1" outlineLevel="1" x14ac:dyDescent="0.4">
      <c r="A293" s="54"/>
      <c r="B293" s="48" t="s">
        <v>202</v>
      </c>
      <c r="C293" s="49" t="s">
        <v>14</v>
      </c>
      <c r="D293" s="65">
        <f>1.7*5.23/1000</f>
        <v>8.8909999999999996E-3</v>
      </c>
      <c r="E293" s="51"/>
      <c r="F293" s="57"/>
    </row>
    <row r="294" spans="1:203" s="58" customFormat="1" ht="30" hidden="1" customHeight="1" outlineLevel="1" x14ac:dyDescent="0.4">
      <c r="A294" s="54"/>
      <c r="B294" s="48" t="s">
        <v>203</v>
      </c>
      <c r="C294" s="49" t="s">
        <v>58</v>
      </c>
      <c r="D294" s="55">
        <v>2</v>
      </c>
      <c r="E294" s="51">
        <v>1E-3</v>
      </c>
      <c r="F294" s="57"/>
    </row>
    <row r="295" spans="1:203" s="58" customFormat="1" ht="30" hidden="1" customHeight="1" outlineLevel="1" x14ac:dyDescent="0.4">
      <c r="A295" s="54"/>
      <c r="B295" s="48" t="s">
        <v>204</v>
      </c>
      <c r="C295" s="49" t="s">
        <v>58</v>
      </c>
      <c r="D295" s="55">
        <v>1</v>
      </c>
      <c r="E295" s="51">
        <v>1E-3</v>
      </c>
      <c r="F295" s="57"/>
    </row>
    <row r="296" spans="1:203" s="58" customFormat="1" ht="30" hidden="1" customHeight="1" outlineLevel="1" x14ac:dyDescent="0.4">
      <c r="A296" s="54"/>
      <c r="B296" s="48" t="s">
        <v>205</v>
      </c>
      <c r="C296" s="49" t="s">
        <v>58</v>
      </c>
      <c r="D296" s="55">
        <v>1</v>
      </c>
      <c r="E296" s="51">
        <v>2E-3</v>
      </c>
      <c r="F296" s="57"/>
    </row>
    <row r="297" spans="1:203" s="58" customFormat="1" ht="30" hidden="1" customHeight="1" outlineLevel="1" x14ac:dyDescent="0.4">
      <c r="A297" s="54"/>
      <c r="B297" s="48" t="s">
        <v>206</v>
      </c>
      <c r="C297" s="49" t="s">
        <v>58</v>
      </c>
      <c r="D297" s="55">
        <v>1</v>
      </c>
      <c r="E297" s="51">
        <v>1E-3</v>
      </c>
      <c r="F297" s="57"/>
    </row>
    <row r="298" spans="1:203" s="58" customFormat="1" ht="30" hidden="1" customHeight="1" outlineLevel="1" x14ac:dyDescent="0.4">
      <c r="A298" s="54"/>
      <c r="B298" s="48" t="s">
        <v>207</v>
      </c>
      <c r="C298" s="49" t="s">
        <v>58</v>
      </c>
      <c r="D298" s="55">
        <v>1</v>
      </c>
      <c r="E298" s="51">
        <v>4.0000000000000001E-3</v>
      </c>
      <c r="F298" s="57"/>
    </row>
    <row r="299" spans="1:203" s="58" customFormat="1" ht="30" customHeight="1" collapsed="1" x14ac:dyDescent="0.4">
      <c r="A299" s="24">
        <f>A292+1</f>
        <v>128</v>
      </c>
      <c r="B299" s="59" t="s">
        <v>158</v>
      </c>
      <c r="C299" s="70" t="s">
        <v>67</v>
      </c>
      <c r="D299" s="40" t="s">
        <v>208</v>
      </c>
      <c r="E299" s="66"/>
      <c r="F299" s="57"/>
    </row>
    <row r="300" spans="1:203" s="58" customFormat="1" ht="30" hidden="1" customHeight="1" outlineLevel="1" x14ac:dyDescent="0.4">
      <c r="A300" s="54"/>
      <c r="B300" s="48" t="s">
        <v>209</v>
      </c>
      <c r="C300" s="49" t="s">
        <v>58</v>
      </c>
      <c r="D300" s="55">
        <v>1</v>
      </c>
      <c r="E300" s="51">
        <v>1E-3</v>
      </c>
      <c r="F300" s="57"/>
    </row>
    <row r="301" spans="1:203" s="58" customFormat="1" ht="30" hidden="1" customHeight="1" outlineLevel="1" x14ac:dyDescent="0.4">
      <c r="A301" s="54"/>
      <c r="B301" s="48" t="s">
        <v>210</v>
      </c>
      <c r="C301" s="49" t="s">
        <v>58</v>
      </c>
      <c r="D301" s="55">
        <v>1</v>
      </c>
      <c r="E301" s="51">
        <v>2E-3</v>
      </c>
      <c r="F301" s="57"/>
    </row>
    <row r="302" spans="1:203" s="43" customFormat="1" ht="36" customHeight="1" collapsed="1" x14ac:dyDescent="0.35">
      <c r="A302" s="24">
        <f>A299+1</f>
        <v>129</v>
      </c>
      <c r="B302" s="59" t="s">
        <v>72</v>
      </c>
      <c r="C302" s="26" t="s">
        <v>29</v>
      </c>
      <c r="D302" s="67">
        <f>((0.032*3.14*1.8)+(0.057*3.14*1.7))</f>
        <v>0.48512999999999995</v>
      </c>
      <c r="E302" s="41"/>
      <c r="F302" s="42"/>
      <c r="H302" s="44"/>
      <c r="K302" s="45"/>
      <c r="L302" s="45"/>
      <c r="M302" s="45"/>
      <c r="N302" s="44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</row>
    <row r="303" spans="1:203" s="58" customFormat="1" ht="30" hidden="1" customHeight="1" outlineLevel="1" x14ac:dyDescent="0.4">
      <c r="A303" s="54"/>
      <c r="B303" s="48" t="s">
        <v>73</v>
      </c>
      <c r="C303" s="49" t="s">
        <v>74</v>
      </c>
      <c r="D303" s="68">
        <f>3.31*D302</f>
        <v>1.6057802999999999</v>
      </c>
      <c r="E303" s="69">
        <v>2E-3</v>
      </c>
      <c r="F303" s="57"/>
    </row>
    <row r="304" spans="1:203" s="43" customFormat="1" ht="36" customHeight="1" collapsed="1" x14ac:dyDescent="0.35">
      <c r="A304" s="24">
        <f>A302+1</f>
        <v>130</v>
      </c>
      <c r="B304" s="59" t="s">
        <v>75</v>
      </c>
      <c r="C304" s="26" t="s">
        <v>29</v>
      </c>
      <c r="D304" s="67">
        <f>((0.032*3.14*1.8)+(0.057*3.14*1.7))</f>
        <v>0.48512999999999995</v>
      </c>
      <c r="E304" s="41"/>
      <c r="F304" s="42"/>
      <c r="H304" s="44"/>
      <c r="K304" s="45"/>
      <c r="L304" s="45"/>
      <c r="M304" s="45"/>
      <c r="N304" s="44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</row>
    <row r="305" spans="1:203" s="43" customFormat="1" ht="36" customHeight="1" x14ac:dyDescent="0.35">
      <c r="A305" s="24">
        <f>A304+1</f>
        <v>131</v>
      </c>
      <c r="B305" s="59" t="s">
        <v>76</v>
      </c>
      <c r="C305" s="26" t="s">
        <v>29</v>
      </c>
      <c r="D305" s="67">
        <f>((0.032*3.14*1.8)+(0.057*3.14*1.7))</f>
        <v>0.48512999999999995</v>
      </c>
      <c r="E305" s="41"/>
      <c r="F305" s="42"/>
      <c r="H305" s="44"/>
      <c r="K305" s="45"/>
      <c r="L305" s="45"/>
      <c r="M305" s="45"/>
      <c r="N305" s="44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  <c r="GQ305" s="46"/>
      <c r="GR305" s="46"/>
      <c r="GS305" s="46"/>
      <c r="GT305" s="46"/>
      <c r="GU305" s="46"/>
    </row>
    <row r="306" spans="1:203" s="58" customFormat="1" ht="30" customHeight="1" x14ac:dyDescent="0.4">
      <c r="A306" s="24">
        <f>A305+1</f>
        <v>132</v>
      </c>
      <c r="B306" s="59" t="s">
        <v>77</v>
      </c>
      <c r="C306" s="70" t="s">
        <v>29</v>
      </c>
      <c r="D306" s="67">
        <f>((0.032*3.14*1.8)+(0.057*3.14*1.7))</f>
        <v>0.48512999999999995</v>
      </c>
      <c r="E306" s="66"/>
      <c r="F306" s="57"/>
    </row>
    <row r="307" spans="1:203" s="58" customFormat="1" ht="30" hidden="1" customHeight="1" outlineLevel="1" x14ac:dyDescent="0.4">
      <c r="A307" s="54"/>
      <c r="B307" s="48" t="s">
        <v>78</v>
      </c>
      <c r="C307" s="49" t="s">
        <v>74</v>
      </c>
      <c r="D307" s="68">
        <f>D306*0.255</f>
        <v>0.12370814999999999</v>
      </c>
      <c r="E307" s="69"/>
      <c r="F307" s="57"/>
    </row>
    <row r="308" spans="1:203" s="58" customFormat="1" ht="30" customHeight="1" collapsed="1" x14ac:dyDescent="0.4">
      <c r="A308" s="24">
        <f>A306+1</f>
        <v>133</v>
      </c>
      <c r="B308" s="59" t="s">
        <v>79</v>
      </c>
      <c r="C308" s="70" t="s">
        <v>29</v>
      </c>
      <c r="D308" s="67">
        <f>((0.032*3.14*1.8)+(0.057*3.14*1.7))</f>
        <v>0.48512999999999995</v>
      </c>
      <c r="E308" s="66"/>
      <c r="F308" s="57"/>
    </row>
    <row r="309" spans="1:203" s="58" customFormat="1" ht="30" hidden="1" customHeight="1" outlineLevel="1" x14ac:dyDescent="0.4">
      <c r="A309" s="54"/>
      <c r="B309" s="48" t="s">
        <v>80</v>
      </c>
      <c r="C309" s="49" t="s">
        <v>74</v>
      </c>
      <c r="D309" s="68">
        <f>D308*0.36*2</f>
        <v>0.34929359999999993</v>
      </c>
      <c r="E309" s="69"/>
      <c r="F309" s="57"/>
    </row>
    <row r="310" spans="1:203" s="39" customFormat="1" ht="30" customHeight="1" collapsed="1" x14ac:dyDescent="0.35">
      <c r="A310" s="153" t="s">
        <v>211</v>
      </c>
      <c r="B310" s="153"/>
      <c r="C310" s="153"/>
      <c r="D310" s="153"/>
      <c r="E310" s="153"/>
      <c r="F310" s="34"/>
      <c r="G310" s="35"/>
      <c r="H310" s="36"/>
      <c r="I310" s="37"/>
      <c r="J310" s="37"/>
      <c r="K310" s="38"/>
      <c r="L310" s="38"/>
      <c r="M310" s="38"/>
      <c r="N310" s="36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</row>
    <row r="311" spans="1:203" s="39" customFormat="1" ht="21" customHeight="1" x14ac:dyDescent="0.35">
      <c r="A311" s="158" t="s">
        <v>212</v>
      </c>
      <c r="B311" s="158"/>
      <c r="C311" s="158"/>
      <c r="D311" s="158"/>
      <c r="E311" s="158"/>
      <c r="F311" s="34"/>
      <c r="G311" s="35"/>
      <c r="H311" s="36"/>
      <c r="I311" s="37"/>
      <c r="J311" s="37"/>
      <c r="K311" s="38"/>
      <c r="L311" s="38"/>
      <c r="M311" s="38"/>
      <c r="N311" s="36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</row>
    <row r="312" spans="1:203" ht="30" customHeight="1" x14ac:dyDescent="0.35">
      <c r="A312" s="24">
        <f>A308+1</f>
        <v>134</v>
      </c>
      <c r="B312" s="59" t="s">
        <v>213</v>
      </c>
      <c r="C312" s="60" t="s">
        <v>62</v>
      </c>
      <c r="D312" s="61" t="s">
        <v>214</v>
      </c>
      <c r="E312" s="41"/>
      <c r="F312" s="42"/>
    </row>
    <row r="313" spans="1:203" ht="30" customHeight="1" x14ac:dyDescent="0.35">
      <c r="A313" s="24">
        <f>A312+1</f>
        <v>135</v>
      </c>
      <c r="B313" s="59" t="s">
        <v>215</v>
      </c>
      <c r="C313" s="60" t="s">
        <v>62</v>
      </c>
      <c r="D313" s="61" t="s">
        <v>216</v>
      </c>
      <c r="E313" s="41"/>
      <c r="F313" s="42"/>
    </row>
    <row r="314" spans="1:203" ht="33" customHeight="1" x14ac:dyDescent="0.35">
      <c r="A314" s="24">
        <f>A313+1</f>
        <v>136</v>
      </c>
      <c r="B314" s="25" t="s">
        <v>64</v>
      </c>
      <c r="C314" s="26" t="s">
        <v>19</v>
      </c>
      <c r="D314" s="62">
        <v>4.8</v>
      </c>
      <c r="E314" s="41"/>
      <c r="F314" s="53"/>
    </row>
    <row r="315" spans="1:203" s="58" customFormat="1" ht="30" hidden="1" customHeight="1" outlineLevel="1" x14ac:dyDescent="0.4">
      <c r="A315" s="54"/>
      <c r="B315" s="48" t="s">
        <v>65</v>
      </c>
      <c r="C315" s="49" t="s">
        <v>19</v>
      </c>
      <c r="D315" s="63">
        <f>4.8</f>
        <v>4.8</v>
      </c>
      <c r="E315" s="51"/>
      <c r="F315" s="57"/>
    </row>
    <row r="316" spans="1:203" s="39" customFormat="1" ht="36" customHeight="1" collapsed="1" x14ac:dyDescent="0.35">
      <c r="A316" s="24">
        <f>A314+1</f>
        <v>137</v>
      </c>
      <c r="B316" s="25" t="s">
        <v>217</v>
      </c>
      <c r="C316" s="26" t="s">
        <v>67</v>
      </c>
      <c r="D316" s="40" t="s">
        <v>218</v>
      </c>
      <c r="E316" s="64"/>
      <c r="F316" s="34"/>
      <c r="G316" s="35"/>
      <c r="H316" s="36"/>
      <c r="I316" s="37"/>
      <c r="J316" s="37"/>
      <c r="K316" s="38"/>
      <c r="L316" s="38"/>
      <c r="M316" s="38"/>
      <c r="N316" s="36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</row>
    <row r="317" spans="1:203" s="58" customFormat="1" ht="30" hidden="1" customHeight="1" outlineLevel="1" x14ac:dyDescent="0.4">
      <c r="A317" s="54"/>
      <c r="B317" s="48" t="s">
        <v>219</v>
      </c>
      <c r="C317" s="49" t="s">
        <v>14</v>
      </c>
      <c r="D317" s="65">
        <f>14.8*39.51/1000</f>
        <v>0.58474800000000005</v>
      </c>
      <c r="E317" s="51"/>
      <c r="F317" s="57"/>
    </row>
    <row r="318" spans="1:203" s="58" customFormat="1" ht="30" hidden="1" customHeight="1" outlineLevel="1" x14ac:dyDescent="0.4">
      <c r="A318" s="54"/>
      <c r="B318" s="48" t="s">
        <v>70</v>
      </c>
      <c r="C318" s="49" t="s">
        <v>14</v>
      </c>
      <c r="D318" s="65">
        <f>(0.3*0.3*78.5)/1000</f>
        <v>7.0649999999999992E-3</v>
      </c>
      <c r="E318" s="51"/>
      <c r="F318" s="57"/>
    </row>
    <row r="319" spans="1:203" s="58" customFormat="1" ht="30" hidden="1" customHeight="1" outlineLevel="1" x14ac:dyDescent="0.4">
      <c r="A319" s="54"/>
      <c r="B319" s="48" t="s">
        <v>220</v>
      </c>
      <c r="C319" s="49" t="s">
        <v>14</v>
      </c>
      <c r="D319" s="65">
        <f>(0.26*0.26*47.1)/1000</f>
        <v>3.1839600000000004E-3</v>
      </c>
      <c r="E319" s="51"/>
      <c r="F319" s="57"/>
    </row>
    <row r="320" spans="1:203" s="39" customFormat="1" ht="36" customHeight="1" collapsed="1" x14ac:dyDescent="0.35">
      <c r="A320" s="24">
        <f>A316+1</f>
        <v>138</v>
      </c>
      <c r="B320" s="25" t="s">
        <v>221</v>
      </c>
      <c r="C320" s="26" t="s">
        <v>67</v>
      </c>
      <c r="D320" s="40" t="s">
        <v>222</v>
      </c>
      <c r="E320" s="64"/>
      <c r="F320" s="34"/>
      <c r="G320" s="35"/>
      <c r="H320" s="36"/>
      <c r="I320" s="37"/>
      <c r="J320" s="37"/>
      <c r="K320" s="38"/>
      <c r="L320" s="38"/>
      <c r="M320" s="38"/>
      <c r="N320" s="36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</row>
    <row r="321" spans="1:28" s="58" customFormat="1" ht="30" hidden="1" customHeight="1" outlineLevel="1" x14ac:dyDescent="0.4">
      <c r="A321" s="54"/>
      <c r="B321" s="48" t="s">
        <v>223</v>
      </c>
      <c r="C321" s="49" t="s">
        <v>14</v>
      </c>
      <c r="D321" s="65">
        <f>35*13.44/1000</f>
        <v>0.47039999999999998</v>
      </c>
      <c r="E321" s="51"/>
      <c r="F321" s="57"/>
    </row>
    <row r="322" spans="1:28" s="58" customFormat="1" ht="30" hidden="1" customHeight="1" outlineLevel="1" x14ac:dyDescent="0.4">
      <c r="A322" s="54"/>
      <c r="B322" s="48" t="s">
        <v>70</v>
      </c>
      <c r="C322" s="49" t="s">
        <v>14</v>
      </c>
      <c r="D322" s="65">
        <f>((3.5*78.5)-(0.2*0.2*39*78.5)-(0.3*0.3*78.5))/1000</f>
        <v>0.14522499999999997</v>
      </c>
      <c r="E322" s="51"/>
      <c r="F322" s="57"/>
      <c r="H322" s="58">
        <f>0.2*0.2*39*78.5</f>
        <v>122.46000000000002</v>
      </c>
    </row>
    <row r="323" spans="1:28" s="58" customFormat="1" ht="30" hidden="1" customHeight="1" outlineLevel="1" x14ac:dyDescent="0.4">
      <c r="A323" s="54"/>
      <c r="B323" s="48" t="s">
        <v>220</v>
      </c>
      <c r="C323" s="49" t="s">
        <v>14</v>
      </c>
      <c r="D323" s="65">
        <f>((0.41*47.1)-(0.26*0.26*47.1))/1000</f>
        <v>1.6127040000000002E-2</v>
      </c>
      <c r="E323" s="51"/>
      <c r="F323" s="57"/>
    </row>
    <row r="324" spans="1:28" s="58" customFormat="1" ht="30" customHeight="1" collapsed="1" x14ac:dyDescent="0.4">
      <c r="A324" s="24">
        <f>A320+1</f>
        <v>139</v>
      </c>
      <c r="B324" s="59" t="s">
        <v>71</v>
      </c>
      <c r="C324" s="26" t="s">
        <v>14</v>
      </c>
      <c r="D324" s="40">
        <v>1.2270000000000001</v>
      </c>
      <c r="E324" s="66"/>
      <c r="F324" s="57"/>
    </row>
    <row r="325" spans="1:28" s="39" customFormat="1" ht="36" customHeight="1" x14ac:dyDescent="0.35">
      <c r="A325" s="24">
        <f>A324+1</f>
        <v>140</v>
      </c>
      <c r="B325" s="25" t="s">
        <v>224</v>
      </c>
      <c r="C325" s="26" t="s">
        <v>14</v>
      </c>
      <c r="D325" s="40">
        <v>1.1970000000000001</v>
      </c>
      <c r="E325" s="64"/>
      <c r="F325" s="34"/>
      <c r="G325" s="35"/>
      <c r="H325" s="36"/>
      <c r="I325" s="37"/>
      <c r="J325" s="37"/>
      <c r="K325" s="38"/>
      <c r="L325" s="38"/>
      <c r="M325" s="38"/>
      <c r="N325" s="36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</row>
    <row r="326" spans="1:28" s="58" customFormat="1" ht="30" hidden="1" customHeight="1" outlineLevel="1" x14ac:dyDescent="0.4">
      <c r="A326" s="54"/>
      <c r="B326" s="48" t="s">
        <v>112</v>
      </c>
      <c r="C326" s="49" t="s">
        <v>14</v>
      </c>
      <c r="D326" s="65">
        <f>75.7*14.2/1000</f>
        <v>1.07494</v>
      </c>
      <c r="E326" s="51"/>
      <c r="F326" s="57"/>
    </row>
    <row r="327" spans="1:28" s="58" customFormat="1" ht="30" hidden="1" customHeight="1" outlineLevel="1" x14ac:dyDescent="0.4">
      <c r="A327" s="54"/>
      <c r="B327" s="48" t="s">
        <v>70</v>
      </c>
      <c r="C327" s="49" t="s">
        <v>14</v>
      </c>
      <c r="D327" s="65">
        <f>0.2*0.2*39*78.5/1000</f>
        <v>0.12246000000000003</v>
      </c>
      <c r="E327" s="51"/>
      <c r="F327" s="57"/>
      <c r="H327" s="58">
        <f>0.2*0.2*39*78.5</f>
        <v>122.46000000000002</v>
      </c>
    </row>
    <row r="328" spans="1:28" ht="36" customHeight="1" collapsed="1" x14ac:dyDescent="0.35">
      <c r="A328" s="24">
        <f>A325+1</f>
        <v>141</v>
      </c>
      <c r="B328" s="59" t="s">
        <v>225</v>
      </c>
      <c r="C328" s="26" t="s">
        <v>89</v>
      </c>
      <c r="D328" s="67" t="s">
        <v>90</v>
      </c>
      <c r="E328" s="41"/>
      <c r="F328" s="42"/>
    </row>
    <row r="329" spans="1:28" ht="36" customHeight="1" x14ac:dyDescent="0.35">
      <c r="A329" s="24">
        <f>A328+1</f>
        <v>142</v>
      </c>
      <c r="B329" s="59" t="s">
        <v>72</v>
      </c>
      <c r="C329" s="26" t="s">
        <v>29</v>
      </c>
      <c r="D329" s="67">
        <f>(3.5+3.5+(0.219*3.14*5.5*2)+(0.114*3.14*1*13)+42.9)</f>
        <v>62.117739999999998</v>
      </c>
      <c r="E329" s="41"/>
      <c r="F329" s="42"/>
    </row>
    <row r="330" spans="1:28" s="58" customFormat="1" ht="30" hidden="1" customHeight="1" outlineLevel="1" x14ac:dyDescent="0.4">
      <c r="A330" s="54"/>
      <c r="B330" s="48" t="s">
        <v>73</v>
      </c>
      <c r="C330" s="49" t="s">
        <v>74</v>
      </c>
      <c r="D330" s="68">
        <f>3.31*62.1</f>
        <v>205.55100000000002</v>
      </c>
      <c r="E330" s="69">
        <v>0.20599999999999999</v>
      </c>
      <c r="F330" s="57"/>
    </row>
    <row r="331" spans="1:28" ht="36" customHeight="1" collapsed="1" x14ac:dyDescent="0.35">
      <c r="A331" s="24">
        <f>A329+1</f>
        <v>143</v>
      </c>
      <c r="B331" s="59" t="s">
        <v>75</v>
      </c>
      <c r="C331" s="26" t="s">
        <v>29</v>
      </c>
      <c r="D331" s="67">
        <f>(3.5+3.5+(0.219*3.14*5.5*2)+(0.114*3.14*1*13)+42.9)</f>
        <v>62.117739999999998</v>
      </c>
      <c r="E331" s="41"/>
      <c r="F331" s="42"/>
    </row>
    <row r="332" spans="1:28" ht="36" customHeight="1" x14ac:dyDescent="0.35">
      <c r="A332" s="24">
        <f>A331+1</f>
        <v>144</v>
      </c>
      <c r="B332" s="59" t="s">
        <v>76</v>
      </c>
      <c r="C332" s="26" t="s">
        <v>29</v>
      </c>
      <c r="D332" s="67">
        <f>(3.5+3.5+(0.219*3.14*5.5*2)+(0.114*3.14*1*13)+42.9)</f>
        <v>62.117739999999998</v>
      </c>
      <c r="E332" s="41"/>
      <c r="F332" s="42"/>
    </row>
    <row r="333" spans="1:28" s="58" customFormat="1" ht="30" customHeight="1" x14ac:dyDescent="0.4">
      <c r="A333" s="24">
        <f>A332+1</f>
        <v>145</v>
      </c>
      <c r="B333" s="59" t="s">
        <v>77</v>
      </c>
      <c r="C333" s="70" t="s">
        <v>29</v>
      </c>
      <c r="D333" s="67">
        <f>(3.5+3.5+(0.219*3.14*5.5*2)+(0.114*3.14*1*13)+42.9)</f>
        <v>62.117739999999998</v>
      </c>
      <c r="E333" s="66"/>
      <c r="F333" s="57"/>
    </row>
    <row r="334" spans="1:28" s="58" customFormat="1" ht="30" hidden="1" customHeight="1" outlineLevel="1" x14ac:dyDescent="0.4">
      <c r="A334" s="54"/>
      <c r="B334" s="48" t="s">
        <v>78</v>
      </c>
      <c r="C334" s="49" t="s">
        <v>74</v>
      </c>
      <c r="D334" s="68">
        <f>62.1*0.255</f>
        <v>15.835500000000001</v>
      </c>
      <c r="E334" s="69">
        <v>1.6E-2</v>
      </c>
      <c r="F334" s="57"/>
    </row>
    <row r="335" spans="1:28" s="58" customFormat="1" ht="30" customHeight="1" collapsed="1" x14ac:dyDescent="0.4">
      <c r="A335" s="24">
        <f>A333+1</f>
        <v>146</v>
      </c>
      <c r="B335" s="59" t="s">
        <v>79</v>
      </c>
      <c r="C335" s="70" t="s">
        <v>29</v>
      </c>
      <c r="D335" s="67">
        <f>(3.5+3.5+(0.219*3.14*5.5*2)+(0.114*3.14*1*13)+42.9)</f>
        <v>62.117739999999998</v>
      </c>
      <c r="E335" s="66"/>
      <c r="F335" s="57"/>
    </row>
    <row r="336" spans="1:28" s="58" customFormat="1" ht="30" hidden="1" customHeight="1" outlineLevel="1" x14ac:dyDescent="0.4">
      <c r="A336" s="54"/>
      <c r="B336" s="48" t="s">
        <v>80</v>
      </c>
      <c r="C336" s="49" t="s">
        <v>74</v>
      </c>
      <c r="D336" s="68">
        <f>62.1*0.36*2</f>
        <v>44.711999999999996</v>
      </c>
      <c r="E336" s="69">
        <v>4.4999999999999998E-2</v>
      </c>
      <c r="F336" s="57"/>
    </row>
    <row r="337" spans="1:203" s="39" customFormat="1" ht="21" customHeight="1" collapsed="1" x14ac:dyDescent="0.35">
      <c r="A337" s="158" t="s">
        <v>226</v>
      </c>
      <c r="B337" s="158"/>
      <c r="C337" s="158"/>
      <c r="D337" s="158"/>
      <c r="E337" s="158"/>
      <c r="F337" s="34"/>
      <c r="G337" s="35"/>
      <c r="H337" s="36"/>
      <c r="I337" s="37"/>
      <c r="J337" s="37"/>
      <c r="K337" s="38"/>
      <c r="L337" s="38"/>
      <c r="M337" s="38"/>
      <c r="N337" s="36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</row>
    <row r="338" spans="1:203" s="58" customFormat="1" ht="30" customHeight="1" x14ac:dyDescent="0.4">
      <c r="A338" s="24">
        <f>A335+1</f>
        <v>147</v>
      </c>
      <c r="B338" s="59" t="s">
        <v>194</v>
      </c>
      <c r="C338" s="70" t="s">
        <v>58</v>
      </c>
      <c r="D338" s="40">
        <v>2</v>
      </c>
      <c r="E338" s="66"/>
      <c r="F338" s="57"/>
    </row>
    <row r="339" spans="1:203" s="58" customFormat="1" ht="30.9" hidden="1" outlineLevel="1" x14ac:dyDescent="0.4">
      <c r="A339" s="54"/>
      <c r="B339" s="48" t="s">
        <v>195</v>
      </c>
      <c r="C339" s="49" t="s">
        <v>58</v>
      </c>
      <c r="D339" s="55">
        <v>1</v>
      </c>
      <c r="E339" s="51">
        <v>1.2999999999999999E-2</v>
      </c>
      <c r="F339" s="57"/>
    </row>
    <row r="340" spans="1:203" s="58" customFormat="1" ht="30.9" hidden="1" outlineLevel="1" x14ac:dyDescent="0.4">
      <c r="A340" s="54"/>
      <c r="B340" s="48" t="s">
        <v>227</v>
      </c>
      <c r="C340" s="49" t="s">
        <v>58</v>
      </c>
      <c r="D340" s="55">
        <v>1</v>
      </c>
      <c r="E340" s="51">
        <v>1.4999999999999999E-2</v>
      </c>
      <c r="F340" s="57"/>
    </row>
    <row r="341" spans="1:203" s="58" customFormat="1" ht="30.9" collapsed="1" x14ac:dyDescent="0.4">
      <c r="A341" s="72">
        <f>A338+1</f>
        <v>148</v>
      </c>
      <c r="B341" s="59" t="s">
        <v>199</v>
      </c>
      <c r="C341" s="70" t="s">
        <v>132</v>
      </c>
      <c r="D341" s="40">
        <v>85.7</v>
      </c>
      <c r="E341" s="79" t="s">
        <v>151</v>
      </c>
      <c r="F341" s="57"/>
    </row>
    <row r="342" spans="1:203" s="58" customFormat="1" ht="30" hidden="1" customHeight="1" outlineLevel="1" x14ac:dyDescent="0.4">
      <c r="A342" s="54"/>
      <c r="B342" s="48" t="s">
        <v>200</v>
      </c>
      <c r="C342" s="49" t="s">
        <v>14</v>
      </c>
      <c r="D342" s="65">
        <f>85.7*2.76*1.1/1000</f>
        <v>0.26018520000000001</v>
      </c>
      <c r="E342" s="51"/>
      <c r="F342" s="57"/>
    </row>
    <row r="343" spans="1:203" s="58" customFormat="1" ht="30" hidden="1" customHeight="1" outlineLevel="1" x14ac:dyDescent="0.4">
      <c r="A343" s="54"/>
      <c r="B343" s="48" t="s">
        <v>228</v>
      </c>
      <c r="C343" s="49" t="s">
        <v>58</v>
      </c>
      <c r="D343" s="55">
        <v>9</v>
      </c>
      <c r="E343" s="51">
        <v>3.0000000000000001E-3</v>
      </c>
      <c r="F343" s="57"/>
    </row>
    <row r="344" spans="1:203" s="58" customFormat="1" ht="30" customHeight="1" collapsed="1" x14ac:dyDescent="0.4">
      <c r="A344" s="72">
        <f>A341+1</f>
        <v>149</v>
      </c>
      <c r="B344" s="59" t="s">
        <v>158</v>
      </c>
      <c r="C344" s="70" t="s">
        <v>67</v>
      </c>
      <c r="D344" s="40" t="s">
        <v>229</v>
      </c>
      <c r="E344" s="66"/>
      <c r="F344" s="57"/>
    </row>
    <row r="345" spans="1:203" s="58" customFormat="1" ht="30" hidden="1" customHeight="1" outlineLevel="1" x14ac:dyDescent="0.4">
      <c r="A345" s="54"/>
      <c r="B345" s="48" t="s">
        <v>209</v>
      </c>
      <c r="C345" s="49" t="s">
        <v>58</v>
      </c>
      <c r="D345" s="55">
        <v>39</v>
      </c>
      <c r="E345" s="51">
        <v>4.2999999999999997E-2</v>
      </c>
      <c r="F345" s="57"/>
    </row>
    <row r="346" spans="1:203" s="58" customFormat="1" ht="30.9" collapsed="1" x14ac:dyDescent="0.4">
      <c r="A346" s="72">
        <f>A344+1</f>
        <v>150</v>
      </c>
      <c r="B346" s="71" t="s">
        <v>230</v>
      </c>
      <c r="C346" s="40" t="s">
        <v>132</v>
      </c>
      <c r="D346" s="67">
        <v>1.8</v>
      </c>
      <c r="E346" s="79" t="s">
        <v>151</v>
      </c>
      <c r="F346" s="57"/>
    </row>
    <row r="347" spans="1:203" s="58" customFormat="1" ht="30.9" hidden="1" outlineLevel="1" x14ac:dyDescent="0.4">
      <c r="A347" s="54"/>
      <c r="B347" s="48" t="s">
        <v>231</v>
      </c>
      <c r="C347" s="49" t="s">
        <v>14</v>
      </c>
      <c r="D347" s="65">
        <f>1.8*12.26*1.1/1000</f>
        <v>2.4274800000000003E-2</v>
      </c>
      <c r="E347" s="51"/>
      <c r="F347" s="57"/>
    </row>
    <row r="348" spans="1:203" s="58" customFormat="1" ht="30" hidden="1" customHeight="1" outlineLevel="1" x14ac:dyDescent="0.4">
      <c r="A348" s="54"/>
      <c r="B348" s="48" t="s">
        <v>153</v>
      </c>
      <c r="C348" s="49" t="s">
        <v>58</v>
      </c>
      <c r="D348" s="55">
        <v>1</v>
      </c>
      <c r="E348" s="51">
        <v>2E-3</v>
      </c>
      <c r="F348" s="57"/>
    </row>
    <row r="349" spans="1:203" s="58" customFormat="1" ht="30" hidden="1" customHeight="1" outlineLevel="1" x14ac:dyDescent="0.4">
      <c r="A349" s="54"/>
      <c r="B349" s="48" t="s">
        <v>232</v>
      </c>
      <c r="C349" s="49" t="s">
        <v>58</v>
      </c>
      <c r="D349" s="55">
        <v>1</v>
      </c>
      <c r="E349" s="51">
        <v>2E-3</v>
      </c>
      <c r="F349" s="57"/>
    </row>
    <row r="350" spans="1:203" s="43" customFormat="1" ht="36" customHeight="1" collapsed="1" x14ac:dyDescent="0.35">
      <c r="A350" s="72">
        <f>A346+1</f>
        <v>151</v>
      </c>
      <c r="B350" s="59" t="s">
        <v>233</v>
      </c>
      <c r="C350" s="26" t="s">
        <v>19</v>
      </c>
      <c r="D350" s="67">
        <f>47.1*1*1.8</f>
        <v>84.78</v>
      </c>
      <c r="E350" s="41"/>
      <c r="F350" s="42"/>
      <c r="H350" s="44"/>
      <c r="K350" s="45"/>
      <c r="L350" s="45"/>
      <c r="M350" s="45"/>
      <c r="N350" s="44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  <c r="FI350" s="46"/>
      <c r="FJ350" s="46"/>
      <c r="FK350" s="46"/>
      <c r="FL350" s="46"/>
      <c r="FM350" s="46"/>
      <c r="FN350" s="46"/>
      <c r="FO350" s="46"/>
      <c r="FP350" s="46"/>
      <c r="FQ350" s="46"/>
      <c r="FR350" s="46"/>
      <c r="FS350" s="46"/>
      <c r="FT350" s="46"/>
      <c r="FU350" s="46"/>
      <c r="FV350" s="46"/>
      <c r="FW350" s="46"/>
      <c r="FX350" s="46"/>
      <c r="FY350" s="46"/>
      <c r="FZ350" s="46"/>
      <c r="GA350" s="46"/>
      <c r="GB350" s="46"/>
      <c r="GC350" s="46"/>
      <c r="GD350" s="46"/>
      <c r="GE350" s="46"/>
      <c r="GF350" s="46"/>
      <c r="GG350" s="46"/>
      <c r="GH350" s="46"/>
      <c r="GI350" s="46"/>
      <c r="GJ350" s="46"/>
      <c r="GK350" s="46"/>
      <c r="GL350" s="46"/>
      <c r="GM350" s="46"/>
      <c r="GN350" s="46"/>
      <c r="GO350" s="46"/>
      <c r="GP350" s="46"/>
      <c r="GQ350" s="46"/>
      <c r="GR350" s="46"/>
      <c r="GS350" s="46"/>
      <c r="GT350" s="46"/>
      <c r="GU350" s="46"/>
    </row>
    <row r="351" spans="1:203" s="43" customFormat="1" ht="30.9" x14ac:dyDescent="0.35">
      <c r="A351" s="24">
        <f>A350+1</f>
        <v>152</v>
      </c>
      <c r="B351" s="59" t="s">
        <v>234</v>
      </c>
      <c r="C351" s="26" t="s">
        <v>132</v>
      </c>
      <c r="D351" s="67">
        <f>5.75+20.72+15.81+4.86</f>
        <v>47.14</v>
      </c>
      <c r="E351" s="79" t="s">
        <v>151</v>
      </c>
      <c r="F351" s="42"/>
      <c r="H351" s="44"/>
      <c r="K351" s="45"/>
      <c r="L351" s="45"/>
      <c r="M351" s="45"/>
      <c r="N351" s="44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  <c r="FI351" s="46"/>
      <c r="FJ351" s="46"/>
      <c r="FK351" s="46"/>
      <c r="FL351" s="46"/>
      <c r="FM351" s="46"/>
      <c r="FN351" s="46"/>
      <c r="FO351" s="46"/>
      <c r="FP351" s="46"/>
      <c r="FQ351" s="46"/>
      <c r="FR351" s="46"/>
      <c r="FS351" s="46"/>
      <c r="FT351" s="46"/>
      <c r="FU351" s="46"/>
      <c r="FV351" s="46"/>
      <c r="FW351" s="46"/>
      <c r="FX351" s="46"/>
      <c r="FY351" s="46"/>
      <c r="FZ351" s="46"/>
      <c r="GA351" s="46"/>
      <c r="GB351" s="46"/>
      <c r="GC351" s="46"/>
      <c r="GD351" s="46"/>
      <c r="GE351" s="46"/>
      <c r="GF351" s="46"/>
      <c r="GG351" s="46"/>
      <c r="GH351" s="46"/>
      <c r="GI351" s="46"/>
      <c r="GJ351" s="46"/>
      <c r="GK351" s="46"/>
      <c r="GL351" s="46"/>
      <c r="GM351" s="46"/>
      <c r="GN351" s="46"/>
      <c r="GO351" s="46"/>
      <c r="GP351" s="46"/>
      <c r="GQ351" s="46"/>
      <c r="GR351" s="46"/>
      <c r="GS351" s="46"/>
      <c r="GT351" s="46"/>
      <c r="GU351" s="46"/>
    </row>
    <row r="352" spans="1:203" s="58" customFormat="1" ht="30.9" hidden="1" outlineLevel="1" x14ac:dyDescent="0.4">
      <c r="A352" s="54"/>
      <c r="B352" s="48" t="s">
        <v>231</v>
      </c>
      <c r="C352" s="49" t="s">
        <v>14</v>
      </c>
      <c r="D352" s="65">
        <f>47.1*12.26*1.1/1000</f>
        <v>0.63519060000000016</v>
      </c>
      <c r="E352" s="51"/>
      <c r="F352" s="57"/>
    </row>
    <row r="353" spans="1:28" s="58" customFormat="1" ht="30" hidden="1" customHeight="1" outlineLevel="1" x14ac:dyDescent="0.4">
      <c r="A353" s="54"/>
      <c r="B353" s="48" t="s">
        <v>235</v>
      </c>
      <c r="C353" s="49" t="s">
        <v>58</v>
      </c>
      <c r="D353" s="55">
        <v>2</v>
      </c>
      <c r="E353" s="51">
        <v>2E-3</v>
      </c>
      <c r="F353" s="57"/>
    </row>
    <row r="354" spans="1:28" s="58" customFormat="1" ht="30" hidden="1" customHeight="1" outlineLevel="1" x14ac:dyDescent="0.4">
      <c r="A354" s="54"/>
      <c r="B354" s="48" t="s">
        <v>153</v>
      </c>
      <c r="C354" s="49" t="s">
        <v>58</v>
      </c>
      <c r="D354" s="55">
        <v>4</v>
      </c>
      <c r="E354" s="51">
        <v>8.9999999999999993E-3</v>
      </c>
      <c r="F354" s="57"/>
    </row>
    <row r="355" spans="1:28" s="58" customFormat="1" ht="30" customHeight="1" collapsed="1" x14ac:dyDescent="0.4">
      <c r="A355" s="24">
        <f>A351+1</f>
        <v>153</v>
      </c>
      <c r="B355" s="71" t="s">
        <v>236</v>
      </c>
      <c r="C355" s="40" t="s">
        <v>58</v>
      </c>
      <c r="D355" s="82">
        <v>19</v>
      </c>
      <c r="E355" s="66"/>
      <c r="F355" s="57"/>
    </row>
    <row r="356" spans="1:28" s="58" customFormat="1" ht="30" hidden="1" customHeight="1" outlineLevel="1" x14ac:dyDescent="0.4">
      <c r="A356" s="54"/>
      <c r="B356" s="48" t="s">
        <v>237</v>
      </c>
      <c r="C356" s="49" t="s">
        <v>58</v>
      </c>
      <c r="D356" s="55">
        <v>19</v>
      </c>
      <c r="E356" s="51"/>
      <c r="F356" s="57"/>
    </row>
    <row r="357" spans="1:28" s="58" customFormat="1" ht="36" customHeight="1" collapsed="1" x14ac:dyDescent="0.4">
      <c r="A357" s="24">
        <f>A355+1</f>
        <v>154</v>
      </c>
      <c r="B357" s="59" t="s">
        <v>238</v>
      </c>
      <c r="C357" s="70" t="s">
        <v>19</v>
      </c>
      <c r="D357" s="67">
        <f>47.1*1*1.8</f>
        <v>84.78</v>
      </c>
      <c r="E357" s="66"/>
      <c r="F357" s="57"/>
    </row>
    <row r="358" spans="1:28" ht="36" customHeight="1" x14ac:dyDescent="0.35">
      <c r="A358" s="24">
        <f>A357+1</f>
        <v>155</v>
      </c>
      <c r="B358" s="59" t="s">
        <v>72</v>
      </c>
      <c r="C358" s="26" t="s">
        <v>29</v>
      </c>
      <c r="D358" s="67">
        <f>(0.032*3.14*85.7)</f>
        <v>8.6111360000000001</v>
      </c>
      <c r="E358" s="41"/>
      <c r="F358" s="42"/>
    </row>
    <row r="359" spans="1:28" s="58" customFormat="1" ht="30" hidden="1" customHeight="1" outlineLevel="1" x14ac:dyDescent="0.4">
      <c r="A359" s="54"/>
      <c r="B359" s="48" t="s">
        <v>73</v>
      </c>
      <c r="C359" s="49" t="s">
        <v>74</v>
      </c>
      <c r="D359" s="68">
        <f>3.31*D358</f>
        <v>28.502860160000001</v>
      </c>
      <c r="E359" s="69">
        <v>2.9000000000000001E-2</v>
      </c>
      <c r="F359" s="57"/>
    </row>
    <row r="360" spans="1:28" ht="36" customHeight="1" collapsed="1" x14ac:dyDescent="0.35">
      <c r="A360" s="24">
        <f>A358+1</f>
        <v>156</v>
      </c>
      <c r="B360" s="59" t="s">
        <v>75</v>
      </c>
      <c r="C360" s="26" t="s">
        <v>29</v>
      </c>
      <c r="D360" s="67">
        <f>(0.032*3.14*85.7)</f>
        <v>8.6111360000000001</v>
      </c>
      <c r="E360" s="41"/>
      <c r="F360" s="42"/>
    </row>
    <row r="361" spans="1:28" ht="36" customHeight="1" x14ac:dyDescent="0.35">
      <c r="A361" s="24">
        <f>A360+1</f>
        <v>157</v>
      </c>
      <c r="B361" s="59" t="s">
        <v>76</v>
      </c>
      <c r="C361" s="26" t="s">
        <v>29</v>
      </c>
      <c r="D361" s="67">
        <f>(0.032*3.14*85.7)</f>
        <v>8.6111360000000001</v>
      </c>
      <c r="E361" s="41"/>
      <c r="F361" s="42"/>
    </row>
    <row r="362" spans="1:28" s="58" customFormat="1" ht="30" customHeight="1" x14ac:dyDescent="0.4">
      <c r="A362" s="24">
        <f>A361+1</f>
        <v>158</v>
      </c>
      <c r="B362" s="59" t="s">
        <v>77</v>
      </c>
      <c r="C362" s="70" t="s">
        <v>29</v>
      </c>
      <c r="D362" s="67">
        <f>(0.032*3.14*85.7)</f>
        <v>8.6111360000000001</v>
      </c>
      <c r="E362" s="66"/>
      <c r="F362" s="57"/>
    </row>
    <row r="363" spans="1:28" s="58" customFormat="1" ht="30" hidden="1" customHeight="1" outlineLevel="1" x14ac:dyDescent="0.4">
      <c r="A363" s="54"/>
      <c r="B363" s="48" t="s">
        <v>78</v>
      </c>
      <c r="C363" s="49" t="s">
        <v>74</v>
      </c>
      <c r="D363" s="68">
        <f>D362*0.255</f>
        <v>2.1958396800000002</v>
      </c>
      <c r="E363" s="69">
        <v>2E-3</v>
      </c>
      <c r="F363" s="57"/>
    </row>
    <row r="364" spans="1:28" s="58" customFormat="1" ht="30" customHeight="1" collapsed="1" x14ac:dyDescent="0.4">
      <c r="A364" s="24">
        <f>A362+1</f>
        <v>159</v>
      </c>
      <c r="B364" s="59" t="s">
        <v>79</v>
      </c>
      <c r="C364" s="70" t="s">
        <v>29</v>
      </c>
      <c r="D364" s="67">
        <f>(0.032*3.14*85.7)</f>
        <v>8.6111360000000001</v>
      </c>
      <c r="E364" s="66"/>
      <c r="F364" s="57"/>
    </row>
    <row r="365" spans="1:28" s="58" customFormat="1" ht="30" hidden="1" customHeight="1" outlineLevel="1" x14ac:dyDescent="0.4">
      <c r="A365" s="54"/>
      <c r="B365" s="48" t="s">
        <v>80</v>
      </c>
      <c r="C365" s="49" t="s">
        <v>74</v>
      </c>
      <c r="D365" s="68">
        <f>D364*0.36*2</f>
        <v>6.2000179199999996</v>
      </c>
      <c r="E365" s="69">
        <v>6.0000000000000001E-3</v>
      </c>
      <c r="F365" s="57"/>
    </row>
    <row r="366" spans="1:28" s="39" customFormat="1" ht="21" customHeight="1" collapsed="1" x14ac:dyDescent="0.35">
      <c r="A366" s="158" t="s">
        <v>239</v>
      </c>
      <c r="B366" s="158"/>
      <c r="C366" s="158"/>
      <c r="D366" s="158"/>
      <c r="E366" s="158"/>
      <c r="F366" s="34"/>
      <c r="G366" s="35"/>
      <c r="H366" s="36"/>
      <c r="I366" s="37"/>
      <c r="J366" s="37"/>
      <c r="K366" s="38"/>
      <c r="L366" s="38"/>
      <c r="M366" s="38"/>
      <c r="N366" s="36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</row>
    <row r="367" spans="1:28" s="58" customFormat="1" ht="30" customHeight="1" x14ac:dyDescent="0.4">
      <c r="A367" s="24">
        <f>A364+1</f>
        <v>160</v>
      </c>
      <c r="B367" s="71" t="s">
        <v>240</v>
      </c>
      <c r="C367" s="40" t="s">
        <v>58</v>
      </c>
      <c r="D367" s="82">
        <v>3</v>
      </c>
      <c r="E367" s="66"/>
      <c r="F367" s="57"/>
    </row>
    <row r="368" spans="1:28" s="58" customFormat="1" ht="30" hidden="1" customHeight="1" outlineLevel="1" x14ac:dyDescent="0.4">
      <c r="A368" s="54"/>
      <c r="B368" s="48" t="s">
        <v>241</v>
      </c>
      <c r="C368" s="49" t="s">
        <v>14</v>
      </c>
      <c r="D368" s="65">
        <f>0.6*1.88*3/1000</f>
        <v>3.3839999999999994E-3</v>
      </c>
      <c r="E368" s="51"/>
      <c r="F368" s="57"/>
    </row>
    <row r="369" spans="1:28" s="58" customFormat="1" ht="30" hidden="1" customHeight="1" outlineLevel="1" x14ac:dyDescent="0.4">
      <c r="A369" s="54"/>
      <c r="B369" s="48" t="s">
        <v>242</v>
      </c>
      <c r="C369" s="49" t="s">
        <v>58</v>
      </c>
      <c r="D369" s="55">
        <v>6</v>
      </c>
      <c r="E369" s="51"/>
      <c r="F369" s="57"/>
    </row>
    <row r="370" spans="1:28" s="58" customFormat="1" ht="30" hidden="1" customHeight="1" outlineLevel="1" x14ac:dyDescent="0.4">
      <c r="A370" s="54"/>
      <c r="B370" s="48" t="s">
        <v>243</v>
      </c>
      <c r="C370" s="49" t="s">
        <v>58</v>
      </c>
      <c r="D370" s="55">
        <v>18</v>
      </c>
      <c r="E370" s="51"/>
      <c r="F370" s="57"/>
    </row>
    <row r="371" spans="1:28" s="58" customFormat="1" ht="30" hidden="1" customHeight="1" outlineLevel="1" x14ac:dyDescent="0.4">
      <c r="A371" s="54"/>
      <c r="B371" s="48" t="s">
        <v>244</v>
      </c>
      <c r="C371" s="49" t="s">
        <v>58</v>
      </c>
      <c r="D371" s="55">
        <v>6</v>
      </c>
      <c r="E371" s="51"/>
      <c r="F371" s="57"/>
    </row>
    <row r="372" spans="1:28" s="58" customFormat="1" ht="30" hidden="1" customHeight="1" outlineLevel="1" x14ac:dyDescent="0.4">
      <c r="A372" s="54"/>
      <c r="B372" s="48" t="s">
        <v>245</v>
      </c>
      <c r="C372" s="49" t="s">
        <v>58</v>
      </c>
      <c r="D372" s="55">
        <v>12</v>
      </c>
      <c r="E372" s="51"/>
      <c r="F372" s="57"/>
    </row>
    <row r="373" spans="1:28" s="58" customFormat="1" ht="30" hidden="1" customHeight="1" outlineLevel="1" x14ac:dyDescent="0.4">
      <c r="A373" s="54"/>
      <c r="B373" s="48" t="s">
        <v>246</v>
      </c>
      <c r="C373" s="49" t="s">
        <v>58</v>
      </c>
      <c r="D373" s="55">
        <v>24</v>
      </c>
      <c r="E373" s="51"/>
      <c r="F373" s="57"/>
    </row>
    <row r="374" spans="1:28" s="58" customFormat="1" ht="30" hidden="1" customHeight="1" outlineLevel="1" x14ac:dyDescent="0.4">
      <c r="A374" s="54"/>
      <c r="B374" s="48" t="s">
        <v>247</v>
      </c>
      <c r="C374" s="49" t="s">
        <v>58</v>
      </c>
      <c r="D374" s="55">
        <v>24</v>
      </c>
      <c r="E374" s="51"/>
      <c r="F374" s="57"/>
    </row>
    <row r="375" spans="1:28" s="39" customFormat="1" ht="30" customHeight="1" collapsed="1" x14ac:dyDescent="0.35">
      <c r="A375" s="153" t="s">
        <v>248</v>
      </c>
      <c r="B375" s="153"/>
      <c r="C375" s="153"/>
      <c r="D375" s="153"/>
      <c r="E375" s="153"/>
      <c r="F375" s="34"/>
      <c r="G375" s="35"/>
      <c r="H375" s="36"/>
      <c r="I375" s="37"/>
      <c r="J375" s="37"/>
      <c r="K375" s="38"/>
      <c r="L375" s="38"/>
      <c r="M375" s="38"/>
      <c r="N375" s="36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</row>
    <row r="376" spans="1:28" s="39" customFormat="1" ht="21" customHeight="1" x14ac:dyDescent="0.35">
      <c r="A376" s="158" t="s">
        <v>249</v>
      </c>
      <c r="B376" s="158"/>
      <c r="C376" s="158"/>
      <c r="D376" s="158"/>
      <c r="E376" s="158"/>
      <c r="F376" s="34"/>
      <c r="G376" s="35"/>
      <c r="H376" s="36"/>
      <c r="I376" s="37"/>
      <c r="J376" s="37"/>
      <c r="K376" s="38"/>
      <c r="L376" s="38"/>
      <c r="M376" s="38"/>
      <c r="N376" s="36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</row>
    <row r="377" spans="1:28" s="58" customFormat="1" ht="30" customHeight="1" x14ac:dyDescent="0.4">
      <c r="A377" s="24">
        <f>A367+1</f>
        <v>161</v>
      </c>
      <c r="B377" s="71" t="s">
        <v>250</v>
      </c>
      <c r="C377" s="40" t="s">
        <v>251</v>
      </c>
      <c r="D377" s="82">
        <v>2</v>
      </c>
      <c r="E377" s="66"/>
      <c r="F377" s="57"/>
    </row>
    <row r="378" spans="1:28" s="58" customFormat="1" ht="77.150000000000006" hidden="1" outlineLevel="1" x14ac:dyDescent="0.4">
      <c r="A378" s="54"/>
      <c r="B378" s="48" t="s">
        <v>252</v>
      </c>
      <c r="C378" s="49" t="s">
        <v>251</v>
      </c>
      <c r="D378" s="55">
        <v>1</v>
      </c>
      <c r="E378" s="51"/>
      <c r="F378" s="57"/>
    </row>
    <row r="379" spans="1:28" s="58" customFormat="1" ht="77.150000000000006" hidden="1" outlineLevel="1" x14ac:dyDescent="0.4">
      <c r="A379" s="54"/>
      <c r="B379" s="48" t="s">
        <v>253</v>
      </c>
      <c r="C379" s="49" t="s">
        <v>251</v>
      </c>
      <c r="D379" s="55">
        <v>1</v>
      </c>
      <c r="E379" s="51"/>
      <c r="F379" s="57"/>
    </row>
    <row r="380" spans="1:28" s="39" customFormat="1" ht="30" customHeight="1" collapsed="1" x14ac:dyDescent="0.35">
      <c r="A380" s="153" t="s">
        <v>254</v>
      </c>
      <c r="B380" s="153"/>
      <c r="C380" s="153"/>
      <c r="D380" s="153"/>
      <c r="E380" s="153"/>
      <c r="F380" s="34"/>
      <c r="G380" s="35"/>
      <c r="H380" s="36"/>
      <c r="I380" s="37"/>
      <c r="J380" s="37"/>
      <c r="K380" s="38"/>
      <c r="L380" s="38"/>
      <c r="M380" s="38"/>
      <c r="N380" s="36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</row>
    <row r="381" spans="1:28" s="39" customFormat="1" ht="21" customHeight="1" x14ac:dyDescent="0.35">
      <c r="A381" s="158" t="s">
        <v>255</v>
      </c>
      <c r="B381" s="158"/>
      <c r="C381" s="158"/>
      <c r="D381" s="158"/>
      <c r="E381" s="158"/>
      <c r="F381" s="34"/>
      <c r="G381" s="35"/>
      <c r="H381" s="36"/>
      <c r="I381" s="37"/>
      <c r="J381" s="37"/>
      <c r="K381" s="38"/>
      <c r="L381" s="38"/>
      <c r="M381" s="38"/>
      <c r="N381" s="36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</row>
    <row r="382" spans="1:28" s="58" customFormat="1" ht="30" customHeight="1" x14ac:dyDescent="0.4">
      <c r="A382" s="24">
        <f>A377+1</f>
        <v>162</v>
      </c>
      <c r="B382" s="83" t="s">
        <v>256</v>
      </c>
      <c r="C382" s="84" t="s">
        <v>58</v>
      </c>
      <c r="D382" s="85">
        <v>1</v>
      </c>
      <c r="E382" s="86"/>
      <c r="F382" s="57"/>
    </row>
    <row r="383" spans="1:28" s="58" customFormat="1" ht="30" hidden="1" customHeight="1" outlineLevel="1" x14ac:dyDescent="0.4">
      <c r="A383" s="87"/>
      <c r="B383" s="48" t="s">
        <v>257</v>
      </c>
      <c r="C383" s="75" t="s">
        <v>58</v>
      </c>
      <c r="D383" s="74">
        <v>1</v>
      </c>
      <c r="E383" s="88">
        <v>2.3E-2</v>
      </c>
      <c r="F383" s="57"/>
    </row>
    <row r="384" spans="1:28" s="58" customFormat="1" ht="30" customHeight="1" collapsed="1" x14ac:dyDescent="0.4">
      <c r="A384" s="24">
        <f>A382+1</f>
        <v>163</v>
      </c>
      <c r="B384" s="25" t="s">
        <v>258</v>
      </c>
      <c r="C384" s="89" t="s">
        <v>19</v>
      </c>
      <c r="D384" s="90">
        <v>21.14</v>
      </c>
      <c r="E384" s="91"/>
      <c r="F384" s="57"/>
    </row>
    <row r="385" spans="1:6" s="58" customFormat="1" ht="30" customHeight="1" x14ac:dyDescent="0.4">
      <c r="A385" s="92">
        <f>A384+1</f>
        <v>164</v>
      </c>
      <c r="B385" s="25" t="s">
        <v>259</v>
      </c>
      <c r="C385" s="89" t="s">
        <v>132</v>
      </c>
      <c r="D385" s="90">
        <v>15</v>
      </c>
      <c r="E385" s="91"/>
      <c r="F385" s="57"/>
    </row>
    <row r="386" spans="1:6" s="58" customFormat="1" ht="30" hidden="1" customHeight="1" outlineLevel="1" x14ac:dyDescent="0.4">
      <c r="A386" s="87"/>
      <c r="B386" s="48" t="s">
        <v>260</v>
      </c>
      <c r="C386" s="75" t="s">
        <v>132</v>
      </c>
      <c r="D386" s="74">
        <v>15</v>
      </c>
      <c r="E386" s="88">
        <v>7.0000000000000001E-3</v>
      </c>
      <c r="F386" s="57"/>
    </row>
    <row r="387" spans="1:6" s="58" customFormat="1" ht="30" customHeight="1" collapsed="1" x14ac:dyDescent="0.4">
      <c r="A387" s="24">
        <f>A385+1</f>
        <v>165</v>
      </c>
      <c r="B387" s="25" t="s">
        <v>261</v>
      </c>
      <c r="C387" s="89" t="s">
        <v>132</v>
      </c>
      <c r="D387" s="90">
        <v>202</v>
      </c>
      <c r="E387" s="91"/>
      <c r="F387" s="57"/>
    </row>
    <row r="388" spans="1:6" s="58" customFormat="1" ht="30" hidden="1" customHeight="1" outlineLevel="1" x14ac:dyDescent="0.4">
      <c r="A388" s="87"/>
      <c r="B388" s="48" t="s">
        <v>262</v>
      </c>
      <c r="C388" s="75" t="s">
        <v>132</v>
      </c>
      <c r="D388" s="74">
        <v>202</v>
      </c>
      <c r="E388" s="88">
        <v>0.20200000000000001</v>
      </c>
      <c r="F388" s="57"/>
    </row>
    <row r="389" spans="1:6" s="58" customFormat="1" ht="30" customHeight="1" collapsed="1" x14ac:dyDescent="0.4">
      <c r="A389" s="24">
        <f>A387+1</f>
        <v>166</v>
      </c>
      <c r="B389" s="25" t="s">
        <v>263</v>
      </c>
      <c r="C389" s="89" t="s">
        <v>132</v>
      </c>
      <c r="D389" s="90">
        <v>110</v>
      </c>
      <c r="E389" s="91"/>
      <c r="F389" s="57"/>
    </row>
    <row r="390" spans="1:6" s="58" customFormat="1" ht="30" hidden="1" customHeight="1" outlineLevel="1" x14ac:dyDescent="0.4">
      <c r="A390" s="87"/>
      <c r="B390" s="48" t="s">
        <v>264</v>
      </c>
      <c r="C390" s="75" t="s">
        <v>132</v>
      </c>
      <c r="D390" s="74">
        <v>110</v>
      </c>
      <c r="E390" s="88">
        <v>0.11700000000000001</v>
      </c>
      <c r="F390" s="57"/>
    </row>
    <row r="391" spans="1:6" s="58" customFormat="1" ht="30" customHeight="1" collapsed="1" x14ac:dyDescent="0.4">
      <c r="A391" s="24">
        <f>A389+1</f>
        <v>167</v>
      </c>
      <c r="B391" s="25" t="s">
        <v>265</v>
      </c>
      <c r="C391" s="89" t="s">
        <v>132</v>
      </c>
      <c r="D391" s="90">
        <v>6</v>
      </c>
      <c r="E391" s="91"/>
      <c r="F391" s="57"/>
    </row>
    <row r="392" spans="1:6" s="58" customFormat="1" ht="30" hidden="1" customHeight="1" outlineLevel="1" x14ac:dyDescent="0.4">
      <c r="A392" s="87"/>
      <c r="B392" s="48" t="s">
        <v>266</v>
      </c>
      <c r="C392" s="75" t="s">
        <v>132</v>
      </c>
      <c r="D392" s="74">
        <v>6</v>
      </c>
      <c r="E392" s="88">
        <v>6.8000000000000005E-2</v>
      </c>
      <c r="F392" s="57"/>
    </row>
    <row r="393" spans="1:6" s="58" customFormat="1" ht="30" customHeight="1" collapsed="1" x14ac:dyDescent="0.4">
      <c r="A393" s="24">
        <f>A391+1</f>
        <v>168</v>
      </c>
      <c r="B393" s="25" t="s">
        <v>267</v>
      </c>
      <c r="C393" s="89" t="s">
        <v>132</v>
      </c>
      <c r="D393" s="90">
        <v>15</v>
      </c>
      <c r="E393" s="91"/>
      <c r="F393" s="57"/>
    </row>
    <row r="394" spans="1:6" s="58" customFormat="1" ht="30" hidden="1" customHeight="1" outlineLevel="1" x14ac:dyDescent="0.4">
      <c r="A394" s="87"/>
      <c r="B394" s="48" t="s">
        <v>268</v>
      </c>
      <c r="C394" s="75" t="s">
        <v>132</v>
      </c>
      <c r="D394" s="74">
        <v>15</v>
      </c>
      <c r="E394" s="88">
        <v>6.8000000000000005E-2</v>
      </c>
      <c r="F394" s="57"/>
    </row>
    <row r="395" spans="1:6" s="58" customFormat="1" ht="30" customHeight="1" collapsed="1" x14ac:dyDescent="0.4">
      <c r="A395" s="24">
        <f>A393+1</f>
        <v>169</v>
      </c>
      <c r="B395" s="25" t="s">
        <v>269</v>
      </c>
      <c r="C395" s="89" t="s">
        <v>58</v>
      </c>
      <c r="D395" s="90">
        <v>70</v>
      </c>
      <c r="E395" s="91"/>
      <c r="F395" s="57"/>
    </row>
    <row r="396" spans="1:6" s="58" customFormat="1" ht="30" hidden="1" customHeight="1" outlineLevel="1" x14ac:dyDescent="0.4">
      <c r="A396" s="87"/>
      <c r="B396" s="48" t="s">
        <v>270</v>
      </c>
      <c r="C396" s="75" t="s">
        <v>58</v>
      </c>
      <c r="D396" s="74">
        <v>10</v>
      </c>
      <c r="E396" s="93"/>
      <c r="F396" s="57"/>
    </row>
    <row r="397" spans="1:6" s="58" customFormat="1" ht="30" hidden="1" customHeight="1" outlineLevel="1" x14ac:dyDescent="0.4">
      <c r="A397" s="87"/>
      <c r="B397" s="48" t="s">
        <v>271</v>
      </c>
      <c r="C397" s="75" t="s">
        <v>58</v>
      </c>
      <c r="D397" s="74">
        <v>10</v>
      </c>
      <c r="E397" s="93"/>
      <c r="F397" s="57"/>
    </row>
    <row r="398" spans="1:6" s="58" customFormat="1" ht="30" hidden="1" customHeight="1" outlineLevel="1" x14ac:dyDescent="0.4">
      <c r="A398" s="87"/>
      <c r="B398" s="48" t="s">
        <v>272</v>
      </c>
      <c r="C398" s="75" t="s">
        <v>58</v>
      </c>
      <c r="D398" s="74">
        <v>50</v>
      </c>
      <c r="E398" s="93"/>
      <c r="F398" s="57"/>
    </row>
    <row r="399" spans="1:6" s="58" customFormat="1" ht="30" customHeight="1" collapsed="1" x14ac:dyDescent="0.4">
      <c r="A399" s="92">
        <f>A395+1</f>
        <v>170</v>
      </c>
      <c r="B399" s="25" t="s">
        <v>273</v>
      </c>
      <c r="C399" s="89" t="s">
        <v>274</v>
      </c>
      <c r="D399" s="90" t="s">
        <v>275</v>
      </c>
      <c r="E399" s="91"/>
      <c r="F399" s="57"/>
    </row>
    <row r="400" spans="1:6" s="58" customFormat="1" ht="30" hidden="1" customHeight="1" outlineLevel="1" x14ac:dyDescent="0.4">
      <c r="A400" s="87"/>
      <c r="B400" s="48" t="s">
        <v>276</v>
      </c>
      <c r="C400" s="75" t="s">
        <v>14</v>
      </c>
      <c r="D400" s="77">
        <f>8*12.15/1000</f>
        <v>9.7200000000000009E-2</v>
      </c>
      <c r="E400" s="94">
        <f>8*12.15/1000</f>
        <v>9.7200000000000009E-2</v>
      </c>
      <c r="F400" s="57"/>
    </row>
    <row r="401" spans="1:6" s="58" customFormat="1" ht="30" hidden="1" customHeight="1" outlineLevel="1" x14ac:dyDescent="0.4">
      <c r="A401" s="87"/>
      <c r="B401" s="48" t="s">
        <v>277</v>
      </c>
      <c r="C401" s="75" t="s">
        <v>14</v>
      </c>
      <c r="D401" s="77">
        <f>12*2.73/1000</f>
        <v>3.2759999999999997E-2</v>
      </c>
      <c r="E401" s="94">
        <f>12*2.73/1000</f>
        <v>3.2759999999999997E-2</v>
      </c>
      <c r="F401" s="57"/>
    </row>
    <row r="402" spans="1:6" s="58" customFormat="1" ht="30" customHeight="1" collapsed="1" x14ac:dyDescent="0.4">
      <c r="A402" s="92">
        <f>A399+1</f>
        <v>171</v>
      </c>
      <c r="B402" s="25" t="s">
        <v>278</v>
      </c>
      <c r="C402" s="89" t="s">
        <v>279</v>
      </c>
      <c r="D402" s="90" t="s">
        <v>280</v>
      </c>
      <c r="E402" s="91"/>
      <c r="F402" s="57"/>
    </row>
    <row r="403" spans="1:6" s="58" customFormat="1" ht="30" hidden="1" customHeight="1" outlineLevel="1" x14ac:dyDescent="0.4">
      <c r="A403" s="87"/>
      <c r="B403" s="48" t="s">
        <v>37</v>
      </c>
      <c r="C403" s="75" t="s">
        <v>19</v>
      </c>
      <c r="D403" s="74">
        <v>21.14</v>
      </c>
      <c r="E403" s="88"/>
      <c r="F403" s="57"/>
    </row>
    <row r="404" spans="1:6" s="58" customFormat="1" ht="30" customHeight="1" collapsed="1" x14ac:dyDescent="0.4">
      <c r="A404" s="24">
        <f>A402+1</f>
        <v>172</v>
      </c>
      <c r="B404" s="25" t="s">
        <v>281</v>
      </c>
      <c r="C404" s="89" t="s">
        <v>132</v>
      </c>
      <c r="D404" s="90">
        <v>14</v>
      </c>
      <c r="E404" s="91"/>
      <c r="F404" s="57"/>
    </row>
    <row r="405" spans="1:6" s="58" customFormat="1" ht="30" hidden="1" customHeight="1" outlineLevel="1" x14ac:dyDescent="0.4">
      <c r="A405" s="87"/>
      <c r="B405" s="48" t="s">
        <v>282</v>
      </c>
      <c r="C405" s="75" t="s">
        <v>132</v>
      </c>
      <c r="D405" s="74">
        <v>14</v>
      </c>
      <c r="E405" s="88">
        <v>2.1999999999999999E-2</v>
      </c>
      <c r="F405" s="57"/>
    </row>
    <row r="406" spans="1:6" s="58" customFormat="1" ht="30" hidden="1" customHeight="1" outlineLevel="1" x14ac:dyDescent="0.4">
      <c r="A406" s="87"/>
      <c r="B406" s="48" t="s">
        <v>283</v>
      </c>
      <c r="C406" s="75" t="s">
        <v>132</v>
      </c>
      <c r="D406" s="74">
        <v>4</v>
      </c>
      <c r="E406" s="88"/>
      <c r="F406" s="57"/>
    </row>
    <row r="407" spans="1:6" s="58" customFormat="1" ht="30" customHeight="1" collapsed="1" x14ac:dyDescent="0.4">
      <c r="A407" s="92">
        <f>A404+1</f>
        <v>173</v>
      </c>
      <c r="B407" s="25" t="s">
        <v>284</v>
      </c>
      <c r="C407" s="89" t="s">
        <v>132</v>
      </c>
      <c r="D407" s="90">
        <v>12</v>
      </c>
      <c r="E407" s="91"/>
      <c r="F407" s="57"/>
    </row>
    <row r="408" spans="1:6" s="58" customFormat="1" ht="30" hidden="1" customHeight="1" outlineLevel="1" x14ac:dyDescent="0.4">
      <c r="A408" s="87"/>
      <c r="B408" s="48" t="s">
        <v>285</v>
      </c>
      <c r="C408" s="75" t="s">
        <v>132</v>
      </c>
      <c r="D408" s="74">
        <v>12</v>
      </c>
      <c r="E408" s="88">
        <v>1.7000000000000001E-2</v>
      </c>
      <c r="F408" s="57"/>
    </row>
    <row r="409" spans="1:6" s="58" customFormat="1" ht="30" hidden="1" customHeight="1" outlineLevel="1" x14ac:dyDescent="0.4">
      <c r="A409" s="87"/>
      <c r="B409" s="48" t="s">
        <v>286</v>
      </c>
      <c r="C409" s="75" t="s">
        <v>132</v>
      </c>
      <c r="D409" s="74">
        <v>6</v>
      </c>
      <c r="E409" s="88"/>
      <c r="F409" s="57"/>
    </row>
    <row r="410" spans="1:6" s="58" customFormat="1" ht="30" customHeight="1" collapsed="1" x14ac:dyDescent="0.4">
      <c r="A410" s="92">
        <f>A407+1</f>
        <v>174</v>
      </c>
      <c r="B410" s="25" t="s">
        <v>287</v>
      </c>
      <c r="C410" s="89" t="s">
        <v>132</v>
      </c>
      <c r="D410" s="90">
        <v>310</v>
      </c>
      <c r="E410" s="91"/>
      <c r="F410" s="57"/>
    </row>
    <row r="411" spans="1:6" s="58" customFormat="1" ht="30" hidden="1" customHeight="1" outlineLevel="1" x14ac:dyDescent="0.4">
      <c r="A411" s="87"/>
      <c r="B411" s="48" t="s">
        <v>288</v>
      </c>
      <c r="C411" s="75" t="s">
        <v>132</v>
      </c>
      <c r="D411" s="74">
        <v>310</v>
      </c>
      <c r="E411" s="88">
        <v>3.0000000000000001E-3</v>
      </c>
      <c r="F411" s="57"/>
    </row>
    <row r="412" spans="1:6" s="58" customFormat="1" ht="30" customHeight="1" collapsed="1" x14ac:dyDescent="0.4">
      <c r="A412" s="24">
        <f>A410+1</f>
        <v>175</v>
      </c>
      <c r="B412" s="25" t="s">
        <v>289</v>
      </c>
      <c r="C412" s="89" t="s">
        <v>290</v>
      </c>
      <c r="D412" s="90" t="s">
        <v>291</v>
      </c>
      <c r="E412" s="91"/>
      <c r="F412" s="57"/>
    </row>
    <row r="413" spans="1:6" s="58" customFormat="1" ht="30" hidden="1" customHeight="1" outlineLevel="1" x14ac:dyDescent="0.4">
      <c r="A413" s="87"/>
      <c r="B413" s="48" t="s">
        <v>292</v>
      </c>
      <c r="C413" s="75" t="s">
        <v>58</v>
      </c>
      <c r="D413" s="74">
        <v>2</v>
      </c>
      <c r="E413" s="88">
        <v>3.0000000000000001E-3</v>
      </c>
      <c r="F413" s="57"/>
    </row>
    <row r="414" spans="1:6" s="58" customFormat="1" ht="30" hidden="1" customHeight="1" outlineLevel="1" x14ac:dyDescent="0.4">
      <c r="A414" s="87"/>
      <c r="B414" s="48" t="s">
        <v>293</v>
      </c>
      <c r="C414" s="75" t="s">
        <v>58</v>
      </c>
      <c r="D414" s="74">
        <v>2</v>
      </c>
      <c r="E414" s="88">
        <v>2E-3</v>
      </c>
      <c r="F414" s="57"/>
    </row>
    <row r="415" spans="1:6" s="58" customFormat="1" ht="30" hidden="1" customHeight="1" outlineLevel="1" x14ac:dyDescent="0.4">
      <c r="A415" s="87"/>
      <c r="B415" s="48" t="s">
        <v>294</v>
      </c>
      <c r="C415" s="75" t="s">
        <v>58</v>
      </c>
      <c r="D415" s="74">
        <v>4</v>
      </c>
      <c r="E415" s="88"/>
      <c r="F415" s="57"/>
    </row>
    <row r="416" spans="1:6" s="58" customFormat="1" ht="30" hidden="1" customHeight="1" outlineLevel="1" x14ac:dyDescent="0.4">
      <c r="A416" s="87"/>
      <c r="B416" s="48" t="s">
        <v>295</v>
      </c>
      <c r="C416" s="75" t="s">
        <v>58</v>
      </c>
      <c r="D416" s="74">
        <v>16</v>
      </c>
      <c r="E416" s="88"/>
      <c r="F416" s="57"/>
    </row>
    <row r="417" spans="1:28" s="58" customFormat="1" ht="30" hidden="1" customHeight="1" outlineLevel="1" x14ac:dyDescent="0.4">
      <c r="A417" s="87"/>
      <c r="B417" s="48" t="s">
        <v>296</v>
      </c>
      <c r="C417" s="75" t="s">
        <v>58</v>
      </c>
      <c r="D417" s="74">
        <v>16</v>
      </c>
      <c r="E417" s="88"/>
      <c r="F417" s="57"/>
    </row>
    <row r="418" spans="1:28" s="58" customFormat="1" ht="30" hidden="1" customHeight="1" outlineLevel="1" x14ac:dyDescent="0.4">
      <c r="A418" s="87"/>
      <c r="B418" s="48" t="s">
        <v>297</v>
      </c>
      <c r="C418" s="75" t="s">
        <v>58</v>
      </c>
      <c r="D418" s="74">
        <v>8</v>
      </c>
      <c r="E418" s="88"/>
      <c r="F418" s="57"/>
    </row>
    <row r="419" spans="1:28" s="58" customFormat="1" ht="30" hidden="1" customHeight="1" outlineLevel="1" x14ac:dyDescent="0.4">
      <c r="A419" s="87"/>
      <c r="B419" s="48" t="s">
        <v>298</v>
      </c>
      <c r="C419" s="75" t="s">
        <v>58</v>
      </c>
      <c r="D419" s="74">
        <v>8</v>
      </c>
      <c r="E419" s="88"/>
      <c r="F419" s="57"/>
    </row>
    <row r="420" spans="1:28" s="58" customFormat="1" ht="30" customHeight="1" collapsed="1" x14ac:dyDescent="0.4">
      <c r="A420" s="24">
        <f>A412+1</f>
        <v>176</v>
      </c>
      <c r="B420" s="83" t="s">
        <v>299</v>
      </c>
      <c r="C420" s="84" t="s">
        <v>58</v>
      </c>
      <c r="D420" s="85">
        <v>2</v>
      </c>
      <c r="E420" s="86"/>
      <c r="F420" s="57"/>
    </row>
    <row r="421" spans="1:28" s="58" customFormat="1" ht="30" customHeight="1" x14ac:dyDescent="0.4">
      <c r="A421" s="24">
        <f t="shared" ref="A421:A427" si="2">A420+1</f>
        <v>177</v>
      </c>
      <c r="B421" s="83" t="s">
        <v>300</v>
      </c>
      <c r="C421" s="84" t="s">
        <v>58</v>
      </c>
      <c r="D421" s="85">
        <v>2</v>
      </c>
      <c r="E421" s="86"/>
      <c r="F421" s="57"/>
    </row>
    <row r="422" spans="1:28" s="58" customFormat="1" ht="30" customHeight="1" x14ac:dyDescent="0.4">
      <c r="A422" s="24">
        <f t="shared" si="2"/>
        <v>178</v>
      </c>
      <c r="B422" s="83" t="s">
        <v>301</v>
      </c>
      <c r="C422" s="84" t="s">
        <v>58</v>
      </c>
      <c r="D422" s="85">
        <v>2</v>
      </c>
      <c r="E422" s="86"/>
      <c r="F422" s="57"/>
    </row>
    <row r="423" spans="1:28" s="58" customFormat="1" ht="30" customHeight="1" x14ac:dyDescent="0.4">
      <c r="A423" s="95">
        <f t="shared" si="2"/>
        <v>179</v>
      </c>
      <c r="B423" s="83" t="s">
        <v>302</v>
      </c>
      <c r="C423" s="84" t="s">
        <v>58</v>
      </c>
      <c r="D423" s="85">
        <v>4</v>
      </c>
      <c r="E423" s="86"/>
      <c r="F423" s="57"/>
    </row>
    <row r="424" spans="1:28" s="58" customFormat="1" ht="30" customHeight="1" x14ac:dyDescent="0.4">
      <c r="A424" s="24">
        <f t="shared" si="2"/>
        <v>180</v>
      </c>
      <c r="B424" s="83" t="s">
        <v>303</v>
      </c>
      <c r="C424" s="84" t="s">
        <v>58</v>
      </c>
      <c r="D424" s="85">
        <v>6</v>
      </c>
      <c r="E424" s="86"/>
      <c r="F424" s="57"/>
    </row>
    <row r="425" spans="1:28" s="58" customFormat="1" ht="30" customHeight="1" x14ac:dyDescent="0.4">
      <c r="A425" s="24">
        <f t="shared" si="2"/>
        <v>181</v>
      </c>
      <c r="B425" s="83" t="s">
        <v>304</v>
      </c>
      <c r="C425" s="84" t="s">
        <v>58</v>
      </c>
      <c r="D425" s="85">
        <v>10</v>
      </c>
      <c r="E425" s="86"/>
      <c r="F425" s="57"/>
    </row>
    <row r="426" spans="1:28" s="58" customFormat="1" ht="30" customHeight="1" x14ac:dyDescent="0.4">
      <c r="A426" s="24">
        <f t="shared" si="2"/>
        <v>182</v>
      </c>
      <c r="B426" s="83" t="s">
        <v>305</v>
      </c>
      <c r="C426" s="84" t="s">
        <v>58</v>
      </c>
      <c r="D426" s="85">
        <v>6</v>
      </c>
      <c r="E426" s="86"/>
      <c r="F426" s="57"/>
    </row>
    <row r="427" spans="1:28" s="58" customFormat="1" ht="30" customHeight="1" x14ac:dyDescent="0.4">
      <c r="A427" s="95">
        <f t="shared" si="2"/>
        <v>183</v>
      </c>
      <c r="B427" s="83" t="s">
        <v>306</v>
      </c>
      <c r="C427" s="84" t="s">
        <v>58</v>
      </c>
      <c r="D427" s="85">
        <v>18</v>
      </c>
      <c r="E427" s="86"/>
      <c r="F427" s="57"/>
    </row>
    <row r="428" spans="1:28" s="39" customFormat="1" ht="30" customHeight="1" x14ac:dyDescent="0.35">
      <c r="A428" s="153" t="s">
        <v>307</v>
      </c>
      <c r="B428" s="153"/>
      <c r="C428" s="153"/>
      <c r="D428" s="153"/>
      <c r="E428" s="153"/>
      <c r="F428" s="34"/>
      <c r="G428" s="35"/>
      <c r="H428" s="36"/>
      <c r="I428" s="37"/>
      <c r="J428" s="37"/>
      <c r="K428" s="38"/>
      <c r="L428" s="38"/>
      <c r="M428" s="38"/>
      <c r="N428" s="36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</row>
    <row r="429" spans="1:28" s="39" customFormat="1" ht="21" customHeight="1" x14ac:dyDescent="0.35">
      <c r="A429" s="158" t="s">
        <v>255</v>
      </c>
      <c r="B429" s="158"/>
      <c r="C429" s="158"/>
      <c r="D429" s="158"/>
      <c r="E429" s="158"/>
      <c r="F429" s="34"/>
      <c r="G429" s="35"/>
      <c r="H429" s="36"/>
      <c r="I429" s="37"/>
      <c r="J429" s="37"/>
      <c r="K429" s="38"/>
      <c r="L429" s="38"/>
      <c r="M429" s="38"/>
      <c r="N429" s="36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</row>
    <row r="430" spans="1:28" s="58" customFormat="1" ht="30" customHeight="1" x14ac:dyDescent="0.4">
      <c r="A430" s="24">
        <f>A427+1</f>
        <v>184</v>
      </c>
      <c r="B430" s="25" t="s">
        <v>308</v>
      </c>
      <c r="C430" s="89" t="s">
        <v>19</v>
      </c>
      <c r="D430" s="90">
        <f>0.7*0.5*156</f>
        <v>54.599999999999994</v>
      </c>
      <c r="E430" s="91"/>
      <c r="F430" s="57"/>
    </row>
    <row r="431" spans="1:28" s="58" customFormat="1" ht="30" customHeight="1" x14ac:dyDescent="0.4">
      <c r="A431" s="24">
        <f>A430+1</f>
        <v>185</v>
      </c>
      <c r="B431" s="25" t="s">
        <v>309</v>
      </c>
      <c r="C431" s="89" t="s">
        <v>19</v>
      </c>
      <c r="D431" s="90">
        <f>0.7*0.5*156</f>
        <v>54.599999999999994</v>
      </c>
      <c r="E431" s="91"/>
      <c r="F431" s="57"/>
    </row>
    <row r="432" spans="1:28" s="58" customFormat="1" ht="30" customHeight="1" x14ac:dyDescent="0.4">
      <c r="A432" s="24">
        <f>A431+1</f>
        <v>186</v>
      </c>
      <c r="B432" s="25" t="s">
        <v>310</v>
      </c>
      <c r="C432" s="89" t="s">
        <v>19</v>
      </c>
      <c r="D432" s="90">
        <f>0.7*0.5*156</f>
        <v>54.599999999999994</v>
      </c>
      <c r="E432" s="91"/>
      <c r="F432" s="57"/>
    </row>
    <row r="433" spans="1:28" s="58" customFormat="1" ht="30" customHeight="1" x14ac:dyDescent="0.4">
      <c r="A433" s="24">
        <f>A432+1</f>
        <v>187</v>
      </c>
      <c r="B433" s="25" t="s">
        <v>311</v>
      </c>
      <c r="C433" s="89" t="s">
        <v>58</v>
      </c>
      <c r="D433" s="90">
        <v>23</v>
      </c>
      <c r="E433" s="91"/>
      <c r="F433" s="57"/>
    </row>
    <row r="434" spans="1:28" s="58" customFormat="1" ht="30" hidden="1" customHeight="1" outlineLevel="1" x14ac:dyDescent="0.4">
      <c r="A434" s="87"/>
      <c r="B434" s="48" t="s">
        <v>312</v>
      </c>
      <c r="C434" s="75" t="s">
        <v>14</v>
      </c>
      <c r="D434" s="74">
        <v>0.182</v>
      </c>
      <c r="E434" s="88">
        <v>0.182</v>
      </c>
      <c r="F434" s="57"/>
    </row>
    <row r="435" spans="1:28" s="58" customFormat="1" ht="30" customHeight="1" collapsed="1" x14ac:dyDescent="0.4">
      <c r="A435" s="92">
        <f>A433+1</f>
        <v>188</v>
      </c>
      <c r="B435" s="25" t="s">
        <v>313</v>
      </c>
      <c r="C435" s="89" t="s">
        <v>132</v>
      </c>
      <c r="D435" s="96">
        <v>156</v>
      </c>
      <c r="E435" s="97"/>
      <c r="F435" s="57"/>
    </row>
    <row r="436" spans="1:28" s="58" customFormat="1" ht="30" hidden="1" customHeight="1" outlineLevel="1" x14ac:dyDescent="0.4">
      <c r="A436" s="87"/>
      <c r="B436" s="48" t="s">
        <v>314</v>
      </c>
      <c r="C436" s="75" t="s">
        <v>14</v>
      </c>
      <c r="D436" s="74">
        <v>0.19700000000000001</v>
      </c>
      <c r="E436" s="88">
        <v>0.19700000000000001</v>
      </c>
      <c r="F436" s="57"/>
    </row>
    <row r="437" spans="1:28" s="58" customFormat="1" ht="30" customHeight="1" collapsed="1" x14ac:dyDescent="0.4">
      <c r="A437" s="92">
        <f>A435+1</f>
        <v>189</v>
      </c>
      <c r="B437" s="71" t="s">
        <v>315</v>
      </c>
      <c r="C437" s="40" t="s">
        <v>132</v>
      </c>
      <c r="D437" s="82">
        <v>66</v>
      </c>
      <c r="E437" s="66"/>
      <c r="F437" s="57"/>
    </row>
    <row r="438" spans="1:28" s="58" customFormat="1" ht="30" hidden="1" customHeight="1" outlineLevel="1" x14ac:dyDescent="0.4">
      <c r="A438" s="87"/>
      <c r="B438" s="48" t="s">
        <v>314</v>
      </c>
      <c r="C438" s="75" t="s">
        <v>14</v>
      </c>
      <c r="D438" s="74">
        <v>8.3000000000000004E-2</v>
      </c>
      <c r="E438" s="88">
        <v>8.3000000000000004E-2</v>
      </c>
      <c r="F438" s="57"/>
    </row>
    <row r="439" spans="1:28" s="58" customFormat="1" ht="30" customHeight="1" collapsed="1" x14ac:dyDescent="0.4">
      <c r="A439" s="92">
        <f>A437+1</f>
        <v>190</v>
      </c>
      <c r="B439" s="25" t="s">
        <v>316</v>
      </c>
      <c r="C439" s="89" t="s">
        <v>132</v>
      </c>
      <c r="D439" s="96">
        <v>20</v>
      </c>
      <c r="E439" s="98"/>
      <c r="F439" s="57"/>
    </row>
    <row r="440" spans="1:28" s="58" customFormat="1" ht="30" hidden="1" customHeight="1" outlineLevel="1" x14ac:dyDescent="0.4">
      <c r="A440" s="87"/>
      <c r="B440" s="48" t="s">
        <v>317</v>
      </c>
      <c r="C440" s="75" t="s">
        <v>132</v>
      </c>
      <c r="D440" s="74">
        <v>20</v>
      </c>
      <c r="E440" s="93"/>
      <c r="F440" s="57"/>
    </row>
    <row r="441" spans="1:28" s="58" customFormat="1" ht="30" hidden="1" customHeight="1" outlineLevel="1" x14ac:dyDescent="0.4">
      <c r="A441" s="54"/>
      <c r="B441" s="48" t="s">
        <v>318</v>
      </c>
      <c r="C441" s="49" t="s">
        <v>58</v>
      </c>
      <c r="D441" s="74">
        <v>4</v>
      </c>
      <c r="E441" s="69"/>
      <c r="F441" s="57"/>
    </row>
    <row r="442" spans="1:28" s="58" customFormat="1" ht="30" hidden="1" customHeight="1" outlineLevel="1" x14ac:dyDescent="0.4">
      <c r="A442" s="54"/>
      <c r="B442" s="48" t="s">
        <v>319</v>
      </c>
      <c r="C442" s="49" t="s">
        <v>58</v>
      </c>
      <c r="D442" s="74">
        <v>8</v>
      </c>
      <c r="E442" s="69"/>
      <c r="F442" s="57"/>
    </row>
    <row r="443" spans="1:28" s="58" customFormat="1" ht="30" hidden="1" customHeight="1" outlineLevel="1" x14ac:dyDescent="0.4">
      <c r="A443" s="54"/>
      <c r="B443" s="48" t="s">
        <v>320</v>
      </c>
      <c r="C443" s="49" t="s">
        <v>58</v>
      </c>
      <c r="D443" s="55">
        <v>40</v>
      </c>
      <c r="E443" s="69"/>
      <c r="F443" s="57"/>
    </row>
    <row r="444" spans="1:28" s="58" customFormat="1" ht="30" hidden="1" customHeight="1" outlineLevel="1" x14ac:dyDescent="0.4">
      <c r="A444" s="54"/>
      <c r="B444" s="48" t="s">
        <v>296</v>
      </c>
      <c r="C444" s="49" t="s">
        <v>58</v>
      </c>
      <c r="D444" s="55">
        <v>40</v>
      </c>
      <c r="E444" s="69"/>
      <c r="F444" s="57"/>
    </row>
    <row r="445" spans="1:28" s="58" customFormat="1" ht="30" hidden="1" customHeight="1" outlineLevel="1" x14ac:dyDescent="0.4">
      <c r="A445" s="54"/>
      <c r="B445" s="48" t="s">
        <v>321</v>
      </c>
      <c r="C445" s="49" t="s">
        <v>58</v>
      </c>
      <c r="D445" s="55">
        <v>80</v>
      </c>
      <c r="E445" s="69"/>
      <c r="F445" s="57"/>
    </row>
    <row r="446" spans="1:28" s="39" customFormat="1" ht="30" customHeight="1" collapsed="1" x14ac:dyDescent="0.35">
      <c r="A446" s="153" t="s">
        <v>322</v>
      </c>
      <c r="B446" s="153"/>
      <c r="C446" s="153"/>
      <c r="D446" s="153"/>
      <c r="E446" s="153"/>
      <c r="F446" s="34"/>
      <c r="G446" s="35"/>
      <c r="H446" s="36"/>
      <c r="I446" s="37"/>
      <c r="J446" s="37"/>
      <c r="K446" s="38"/>
      <c r="L446" s="38"/>
      <c r="M446" s="38"/>
      <c r="N446" s="36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</row>
    <row r="447" spans="1:28" s="39" customFormat="1" ht="21" customHeight="1" x14ac:dyDescent="0.35">
      <c r="A447" s="158" t="s">
        <v>323</v>
      </c>
      <c r="B447" s="158"/>
      <c r="C447" s="158"/>
      <c r="D447" s="158"/>
      <c r="E447" s="158"/>
      <c r="F447" s="34"/>
      <c r="G447" s="35"/>
      <c r="H447" s="36"/>
      <c r="I447" s="37"/>
      <c r="J447" s="37"/>
      <c r="K447" s="38"/>
      <c r="L447" s="38"/>
      <c r="M447" s="38"/>
      <c r="N447" s="36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</row>
    <row r="448" spans="1:28" s="58" customFormat="1" ht="30" customHeight="1" x14ac:dyDescent="0.4">
      <c r="A448" s="24">
        <f>A439+1</f>
        <v>191</v>
      </c>
      <c r="B448" s="25" t="s">
        <v>324</v>
      </c>
      <c r="C448" s="89" t="s">
        <v>58</v>
      </c>
      <c r="D448" s="90">
        <v>1</v>
      </c>
      <c r="E448" s="99"/>
      <c r="F448" s="57"/>
    </row>
    <row r="449" spans="1:6" s="58" customFormat="1" ht="269.25" hidden="1" customHeight="1" outlineLevel="1" x14ac:dyDescent="0.4">
      <c r="A449" s="87"/>
      <c r="B449" s="48" t="s">
        <v>325</v>
      </c>
      <c r="C449" s="75" t="s">
        <v>58</v>
      </c>
      <c r="D449" s="100">
        <v>1</v>
      </c>
      <c r="E449" s="101">
        <v>2E-3</v>
      </c>
      <c r="F449" s="57"/>
    </row>
    <row r="450" spans="1:6" s="58" customFormat="1" ht="30" customHeight="1" collapsed="1" x14ac:dyDescent="0.4">
      <c r="A450" s="95">
        <f>A448+1</f>
        <v>192</v>
      </c>
      <c r="B450" s="83" t="s">
        <v>326</v>
      </c>
      <c r="C450" s="84" t="s">
        <v>327</v>
      </c>
      <c r="D450" s="85">
        <v>2</v>
      </c>
      <c r="E450" s="102"/>
      <c r="F450" s="57"/>
    </row>
    <row r="451" spans="1:6" s="58" customFormat="1" ht="30" hidden="1" customHeight="1" outlineLevel="1" x14ac:dyDescent="0.4">
      <c r="A451" s="87"/>
      <c r="B451" s="48" t="s">
        <v>328</v>
      </c>
      <c r="C451" s="75" t="s">
        <v>58</v>
      </c>
      <c r="D451" s="100">
        <v>1</v>
      </c>
      <c r="E451" s="101">
        <v>1E-3</v>
      </c>
      <c r="F451" s="57"/>
    </row>
    <row r="452" spans="1:6" s="58" customFormat="1" ht="30" hidden="1" customHeight="1" outlineLevel="1" x14ac:dyDescent="0.4">
      <c r="A452" s="87"/>
      <c r="B452" s="48" t="s">
        <v>329</v>
      </c>
      <c r="C452" s="75" t="s">
        <v>58</v>
      </c>
      <c r="D452" s="100">
        <v>1</v>
      </c>
      <c r="E452" s="101">
        <v>1E-3</v>
      </c>
      <c r="F452" s="57"/>
    </row>
    <row r="453" spans="1:6" s="58" customFormat="1" ht="30" customHeight="1" collapsed="1" x14ac:dyDescent="0.4">
      <c r="A453" s="92">
        <f>A450+1</f>
        <v>193</v>
      </c>
      <c r="B453" s="25" t="s">
        <v>330</v>
      </c>
      <c r="C453" s="89" t="s">
        <v>58</v>
      </c>
      <c r="D453" s="90">
        <v>1</v>
      </c>
      <c r="E453" s="99"/>
      <c r="F453" s="57"/>
    </row>
    <row r="454" spans="1:6" s="58" customFormat="1" ht="46.3" hidden="1" outlineLevel="1" x14ac:dyDescent="0.4">
      <c r="A454" s="87"/>
      <c r="B454" s="48" t="s">
        <v>331</v>
      </c>
      <c r="C454" s="75" t="s">
        <v>58</v>
      </c>
      <c r="D454" s="100">
        <v>1</v>
      </c>
      <c r="E454" s="101">
        <v>1E-3</v>
      </c>
      <c r="F454" s="57"/>
    </row>
    <row r="455" spans="1:6" s="58" customFormat="1" ht="30" customHeight="1" collapsed="1" x14ac:dyDescent="0.4">
      <c r="A455" s="95">
        <f>A453+1</f>
        <v>194</v>
      </c>
      <c r="B455" s="83" t="s">
        <v>326</v>
      </c>
      <c r="C455" s="84" t="s">
        <v>327</v>
      </c>
      <c r="D455" s="85">
        <v>2</v>
      </c>
      <c r="E455" s="102"/>
      <c r="F455" s="57"/>
    </row>
    <row r="456" spans="1:6" s="58" customFormat="1" ht="30" hidden="1" customHeight="1" outlineLevel="1" x14ac:dyDescent="0.4">
      <c r="A456" s="87"/>
      <c r="B456" s="48" t="s">
        <v>328</v>
      </c>
      <c r="C456" s="75" t="s">
        <v>58</v>
      </c>
      <c r="D456" s="100">
        <v>1</v>
      </c>
      <c r="E456" s="101">
        <v>1E-3</v>
      </c>
      <c r="F456" s="57"/>
    </row>
    <row r="457" spans="1:6" s="58" customFormat="1" ht="30" hidden="1" customHeight="1" outlineLevel="1" x14ac:dyDescent="0.4">
      <c r="A457" s="87"/>
      <c r="B457" s="48" t="s">
        <v>329</v>
      </c>
      <c r="C457" s="75" t="s">
        <v>58</v>
      </c>
      <c r="D457" s="100">
        <v>1</v>
      </c>
      <c r="E457" s="101">
        <v>1E-3</v>
      </c>
      <c r="F457" s="57"/>
    </row>
    <row r="458" spans="1:6" s="58" customFormat="1" ht="30" customHeight="1" collapsed="1" x14ac:dyDescent="0.4">
      <c r="A458" s="92">
        <f>A455+1</f>
        <v>195</v>
      </c>
      <c r="B458" s="25" t="s">
        <v>332</v>
      </c>
      <c r="C458" s="89" t="s">
        <v>58</v>
      </c>
      <c r="D458" s="90">
        <v>3</v>
      </c>
      <c r="E458" s="99"/>
      <c r="F458" s="57"/>
    </row>
    <row r="459" spans="1:6" s="58" customFormat="1" ht="61.75" hidden="1" outlineLevel="1" x14ac:dyDescent="0.4">
      <c r="A459" s="87"/>
      <c r="B459" s="48" t="s">
        <v>333</v>
      </c>
      <c r="C459" s="75" t="s">
        <v>58</v>
      </c>
      <c r="D459" s="100">
        <v>3</v>
      </c>
      <c r="E459" s="101">
        <v>3.0000000000000001E-3</v>
      </c>
      <c r="F459" s="57"/>
    </row>
    <row r="460" spans="1:6" s="58" customFormat="1" ht="30" customHeight="1" collapsed="1" x14ac:dyDescent="0.4">
      <c r="A460" s="95">
        <f>A458+1</f>
        <v>196</v>
      </c>
      <c r="B460" s="83" t="s">
        <v>326</v>
      </c>
      <c r="C460" s="84" t="s">
        <v>327</v>
      </c>
      <c r="D460" s="85">
        <v>6</v>
      </c>
      <c r="E460" s="102"/>
      <c r="F460" s="57"/>
    </row>
    <row r="461" spans="1:6" s="58" customFormat="1" ht="30" hidden="1" customHeight="1" outlineLevel="1" x14ac:dyDescent="0.4">
      <c r="A461" s="87"/>
      <c r="B461" s="48" t="s">
        <v>328</v>
      </c>
      <c r="C461" s="75" t="s">
        <v>58</v>
      </c>
      <c r="D461" s="100">
        <v>3</v>
      </c>
      <c r="E461" s="101">
        <v>1E-3</v>
      </c>
      <c r="F461" s="57"/>
    </row>
    <row r="462" spans="1:6" s="58" customFormat="1" ht="30" hidden="1" customHeight="1" outlineLevel="1" x14ac:dyDescent="0.4">
      <c r="A462" s="87"/>
      <c r="B462" s="48" t="s">
        <v>329</v>
      </c>
      <c r="C462" s="75" t="s">
        <v>58</v>
      </c>
      <c r="D462" s="100">
        <v>3</v>
      </c>
      <c r="E462" s="101">
        <v>1E-3</v>
      </c>
      <c r="F462" s="57"/>
    </row>
    <row r="463" spans="1:6" s="58" customFormat="1" ht="30" customHeight="1" collapsed="1" x14ac:dyDescent="0.4">
      <c r="A463" s="92">
        <f>A460+1</f>
        <v>197</v>
      </c>
      <c r="B463" s="25" t="s">
        <v>334</v>
      </c>
      <c r="C463" s="40" t="s">
        <v>58</v>
      </c>
      <c r="D463" s="90">
        <v>1</v>
      </c>
      <c r="E463" s="66"/>
      <c r="F463" s="57"/>
    </row>
    <row r="464" spans="1:6" s="58" customFormat="1" ht="30" hidden="1" customHeight="1" outlineLevel="1" x14ac:dyDescent="0.4">
      <c r="A464" s="54"/>
      <c r="B464" s="48" t="s">
        <v>335</v>
      </c>
      <c r="C464" s="49" t="s">
        <v>58</v>
      </c>
      <c r="D464" s="100">
        <v>1</v>
      </c>
      <c r="E464" s="69">
        <v>0.01</v>
      </c>
      <c r="F464" s="57"/>
    </row>
    <row r="465" spans="1:6" s="58" customFormat="1" ht="30" customHeight="1" collapsed="1" x14ac:dyDescent="0.4">
      <c r="A465" s="95">
        <f>A463+1</f>
        <v>198</v>
      </c>
      <c r="B465" s="71" t="s">
        <v>336</v>
      </c>
      <c r="C465" s="40" t="s">
        <v>58</v>
      </c>
      <c r="D465" s="90">
        <v>1</v>
      </c>
      <c r="E465" s="66"/>
      <c r="F465" s="57"/>
    </row>
    <row r="466" spans="1:6" s="58" customFormat="1" ht="30" hidden="1" customHeight="1" outlineLevel="1" x14ac:dyDescent="0.4">
      <c r="A466" s="54"/>
      <c r="B466" s="48" t="s">
        <v>337</v>
      </c>
      <c r="C466" s="49" t="s">
        <v>58</v>
      </c>
      <c r="D466" s="100">
        <v>1</v>
      </c>
      <c r="E466" s="69">
        <v>0.1</v>
      </c>
      <c r="F466" s="57"/>
    </row>
    <row r="467" spans="1:6" s="58" customFormat="1" ht="30" customHeight="1" collapsed="1" x14ac:dyDescent="0.4">
      <c r="A467" s="95">
        <f>A465+1</f>
        <v>199</v>
      </c>
      <c r="B467" s="25" t="s">
        <v>261</v>
      </c>
      <c r="C467" s="89" t="s">
        <v>132</v>
      </c>
      <c r="D467" s="90">
        <v>516</v>
      </c>
      <c r="E467" s="91"/>
      <c r="F467" s="57"/>
    </row>
    <row r="468" spans="1:6" s="58" customFormat="1" ht="30" hidden="1" customHeight="1" outlineLevel="1" x14ac:dyDescent="0.4">
      <c r="A468" s="87"/>
      <c r="B468" s="48" t="s">
        <v>338</v>
      </c>
      <c r="C468" s="75" t="s">
        <v>132</v>
      </c>
      <c r="D468" s="74">
        <v>308</v>
      </c>
      <c r="E468" s="88">
        <v>9.6000000000000002E-2</v>
      </c>
      <c r="F468" s="57"/>
    </row>
    <row r="469" spans="1:6" s="58" customFormat="1" ht="30" hidden="1" customHeight="1" outlineLevel="1" x14ac:dyDescent="0.4">
      <c r="A469" s="87"/>
      <c r="B469" s="48" t="s">
        <v>339</v>
      </c>
      <c r="C469" s="75" t="s">
        <v>132</v>
      </c>
      <c r="D469" s="74">
        <v>208</v>
      </c>
      <c r="E469" s="88">
        <v>7.0999999999999994E-2</v>
      </c>
      <c r="F469" s="57"/>
    </row>
    <row r="470" spans="1:6" s="58" customFormat="1" ht="30" customHeight="1" collapsed="1" x14ac:dyDescent="0.4">
      <c r="A470" s="92">
        <f>A467+1</f>
        <v>200</v>
      </c>
      <c r="B470" s="25" t="s">
        <v>316</v>
      </c>
      <c r="C470" s="89" t="s">
        <v>132</v>
      </c>
      <c r="D470" s="96">
        <v>28</v>
      </c>
      <c r="E470" s="98"/>
      <c r="F470" s="57"/>
    </row>
    <row r="471" spans="1:6" s="58" customFormat="1" ht="30" hidden="1" customHeight="1" outlineLevel="1" x14ac:dyDescent="0.4">
      <c r="A471" s="87"/>
      <c r="B471" s="48" t="s">
        <v>317</v>
      </c>
      <c r="C471" s="75" t="s">
        <v>132</v>
      </c>
      <c r="D471" s="74">
        <v>28</v>
      </c>
      <c r="E471" s="93"/>
      <c r="F471" s="57"/>
    </row>
    <row r="472" spans="1:6" s="58" customFormat="1" ht="30" customHeight="1" collapsed="1" x14ac:dyDescent="0.4">
      <c r="A472" s="95">
        <f>A470+1</f>
        <v>201</v>
      </c>
      <c r="B472" s="25" t="s">
        <v>340</v>
      </c>
      <c r="C472" s="89" t="s">
        <v>132</v>
      </c>
      <c r="D472" s="90">
        <v>27</v>
      </c>
      <c r="E472" s="99"/>
      <c r="F472" s="57"/>
    </row>
    <row r="473" spans="1:6" s="58" customFormat="1" ht="30" hidden="1" customHeight="1" outlineLevel="1" x14ac:dyDescent="0.4">
      <c r="A473" s="87"/>
      <c r="B473" s="48" t="s">
        <v>341</v>
      </c>
      <c r="C473" s="75" t="s">
        <v>14</v>
      </c>
      <c r="D473" s="74">
        <v>0.05</v>
      </c>
      <c r="E473" s="88">
        <v>0.05</v>
      </c>
      <c r="F473" s="57"/>
    </row>
    <row r="474" spans="1:6" s="58" customFormat="1" ht="30" customHeight="1" collapsed="1" x14ac:dyDescent="0.4">
      <c r="A474" s="95">
        <f>A472+1</f>
        <v>202</v>
      </c>
      <c r="B474" s="25" t="s">
        <v>284</v>
      </c>
      <c r="C474" s="89" t="s">
        <v>132</v>
      </c>
      <c r="D474" s="90">
        <v>57</v>
      </c>
      <c r="E474" s="91"/>
      <c r="F474" s="57"/>
    </row>
    <row r="475" spans="1:6" s="58" customFormat="1" ht="30" hidden="1" customHeight="1" outlineLevel="1" x14ac:dyDescent="0.4">
      <c r="A475" s="87"/>
      <c r="B475" s="48" t="s">
        <v>342</v>
      </c>
      <c r="C475" s="75" t="s">
        <v>132</v>
      </c>
      <c r="D475" s="74">
        <v>57</v>
      </c>
      <c r="E475" s="88"/>
      <c r="F475" s="57"/>
    </row>
    <row r="476" spans="1:6" s="58" customFormat="1" ht="30" hidden="1" customHeight="1" outlineLevel="1" x14ac:dyDescent="0.4">
      <c r="A476" s="87"/>
      <c r="B476" s="48" t="s">
        <v>343</v>
      </c>
      <c r="C476" s="75" t="s">
        <v>132</v>
      </c>
      <c r="D476" s="74">
        <v>12</v>
      </c>
      <c r="E476" s="88"/>
      <c r="F476" s="57"/>
    </row>
    <row r="477" spans="1:6" s="58" customFormat="1" ht="30" hidden="1" customHeight="1" outlineLevel="1" x14ac:dyDescent="0.4">
      <c r="A477" s="87"/>
      <c r="B477" s="48" t="s">
        <v>344</v>
      </c>
      <c r="C477" s="75" t="s">
        <v>132</v>
      </c>
      <c r="D477" s="74">
        <v>10</v>
      </c>
      <c r="E477" s="88"/>
      <c r="F477" s="57"/>
    </row>
    <row r="478" spans="1:6" s="58" customFormat="1" ht="30" customHeight="1" collapsed="1" x14ac:dyDescent="0.4">
      <c r="A478" s="92">
        <f>A474+1</f>
        <v>203</v>
      </c>
      <c r="B478" s="25" t="s">
        <v>273</v>
      </c>
      <c r="C478" s="89" t="s">
        <v>132</v>
      </c>
      <c r="D478" s="90">
        <v>30</v>
      </c>
      <c r="E478" s="91"/>
      <c r="F478" s="57"/>
    </row>
    <row r="479" spans="1:6" s="58" customFormat="1" ht="30" hidden="1" customHeight="1" outlineLevel="1" x14ac:dyDescent="0.4">
      <c r="A479" s="87"/>
      <c r="B479" s="48" t="s">
        <v>345</v>
      </c>
      <c r="C479" s="75" t="s">
        <v>132</v>
      </c>
      <c r="D479" s="74">
        <v>30</v>
      </c>
      <c r="E479" s="94"/>
      <c r="F479" s="57"/>
    </row>
    <row r="480" spans="1:6" s="58" customFormat="1" ht="30" customHeight="1" collapsed="1" x14ac:dyDescent="0.4">
      <c r="A480" s="95">
        <f>A478+1</f>
        <v>204</v>
      </c>
      <c r="B480" s="71" t="s">
        <v>346</v>
      </c>
      <c r="C480" s="40" t="s">
        <v>58</v>
      </c>
      <c r="D480" s="90">
        <v>1</v>
      </c>
      <c r="E480" s="66"/>
      <c r="F480" s="57"/>
    </row>
    <row r="481" spans="1:28" s="58" customFormat="1" ht="30" hidden="1" customHeight="1" outlineLevel="1" x14ac:dyDescent="0.4">
      <c r="A481" s="87"/>
      <c r="B481" s="48" t="s">
        <v>347</v>
      </c>
      <c r="C481" s="75" t="s">
        <v>58</v>
      </c>
      <c r="D481" s="74">
        <v>2</v>
      </c>
      <c r="E481" s="94"/>
      <c r="F481" s="57"/>
    </row>
    <row r="482" spans="1:28" s="58" customFormat="1" ht="30" hidden="1" customHeight="1" outlineLevel="1" x14ac:dyDescent="0.4">
      <c r="A482" s="87"/>
      <c r="B482" s="48" t="s">
        <v>348</v>
      </c>
      <c r="C482" s="75" t="s">
        <v>349</v>
      </c>
      <c r="D482" s="74">
        <v>1</v>
      </c>
      <c r="E482" s="94"/>
      <c r="F482" s="57"/>
    </row>
    <row r="483" spans="1:28" s="58" customFormat="1" ht="30" customHeight="1" collapsed="1" x14ac:dyDescent="0.4">
      <c r="A483" s="92">
        <f>A480+1</f>
        <v>205</v>
      </c>
      <c r="B483" s="71" t="s">
        <v>315</v>
      </c>
      <c r="C483" s="40" t="s">
        <v>132</v>
      </c>
      <c r="D483" s="82">
        <v>8</v>
      </c>
      <c r="E483" s="66"/>
      <c r="F483" s="57"/>
    </row>
    <row r="484" spans="1:28" s="58" customFormat="1" ht="30" hidden="1" customHeight="1" outlineLevel="1" x14ac:dyDescent="0.4">
      <c r="A484" s="87"/>
      <c r="B484" s="48" t="s">
        <v>314</v>
      </c>
      <c r="C484" s="75" t="s">
        <v>14</v>
      </c>
      <c r="D484" s="74">
        <v>0.01</v>
      </c>
      <c r="E484" s="88">
        <v>0.01</v>
      </c>
      <c r="F484" s="57"/>
    </row>
    <row r="485" spans="1:28" s="58" customFormat="1" ht="30" customHeight="1" collapsed="1" x14ac:dyDescent="0.4">
      <c r="A485" s="95">
        <f>A483+1</f>
        <v>206</v>
      </c>
      <c r="B485" s="83" t="s">
        <v>299</v>
      </c>
      <c r="C485" s="84" t="s">
        <v>58</v>
      </c>
      <c r="D485" s="85">
        <v>16</v>
      </c>
      <c r="E485" s="66"/>
      <c r="F485" s="57"/>
    </row>
    <row r="486" spans="1:28" s="58" customFormat="1" ht="30" customHeight="1" x14ac:dyDescent="0.4">
      <c r="A486" s="95">
        <f>A485+1</f>
        <v>207</v>
      </c>
      <c r="B486" s="83" t="s">
        <v>350</v>
      </c>
      <c r="C486" s="84" t="s">
        <v>58</v>
      </c>
      <c r="D486" s="85">
        <v>128</v>
      </c>
      <c r="E486" s="66"/>
      <c r="F486" s="57"/>
    </row>
    <row r="487" spans="1:28" s="14" customFormat="1" ht="20.25" customHeight="1" x14ac:dyDescent="0.4">
      <c r="A487" s="159" t="s">
        <v>351</v>
      </c>
      <c r="B487" s="159"/>
      <c r="C487" s="159"/>
      <c r="D487" s="159"/>
      <c r="E487" s="159"/>
      <c r="F487" s="21"/>
      <c r="G487" s="2"/>
      <c r="H487" s="13"/>
      <c r="I487" s="2"/>
      <c r="J487" s="2" t="s">
        <v>16</v>
      </c>
      <c r="K487" s="3"/>
      <c r="L487" s="3"/>
      <c r="M487" s="3"/>
      <c r="N487" s="1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s="39" customFormat="1" ht="21" customHeight="1" x14ac:dyDescent="0.35">
      <c r="A488" s="154" t="s">
        <v>352</v>
      </c>
      <c r="B488" s="154"/>
      <c r="C488" s="154"/>
      <c r="D488" s="154"/>
      <c r="E488" s="154"/>
      <c r="F488" s="34"/>
      <c r="G488" s="35"/>
      <c r="H488" s="36"/>
      <c r="I488" s="37"/>
      <c r="J488" s="37"/>
      <c r="K488" s="38"/>
      <c r="L488" s="38"/>
      <c r="M488" s="38"/>
      <c r="N488" s="36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</row>
    <row r="489" spans="1:28" s="39" customFormat="1" ht="21" customHeight="1" x14ac:dyDescent="0.35">
      <c r="A489" s="158" t="s">
        <v>353</v>
      </c>
      <c r="B489" s="158"/>
      <c r="C489" s="158"/>
      <c r="D489" s="158"/>
      <c r="E489" s="158"/>
      <c r="F489" s="34"/>
      <c r="G489" s="35"/>
      <c r="H489" s="36"/>
      <c r="I489" s="37"/>
      <c r="J489" s="37"/>
      <c r="K489" s="38"/>
      <c r="L489" s="38"/>
      <c r="M489" s="38"/>
      <c r="N489" s="36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</row>
    <row r="490" spans="1:28" ht="30" customHeight="1" x14ac:dyDescent="0.35">
      <c r="A490" s="24">
        <f>A486+1</f>
        <v>208</v>
      </c>
      <c r="B490" s="59" t="s">
        <v>213</v>
      </c>
      <c r="C490" s="60" t="s">
        <v>62</v>
      </c>
      <c r="D490" s="61" t="s">
        <v>214</v>
      </c>
      <c r="E490" s="41"/>
      <c r="F490" s="42"/>
    </row>
    <row r="491" spans="1:28" ht="33" customHeight="1" x14ac:dyDescent="0.35">
      <c r="A491" s="24">
        <f>A490+1</f>
        <v>209</v>
      </c>
      <c r="B491" s="25" t="s">
        <v>64</v>
      </c>
      <c r="C491" s="26" t="s">
        <v>19</v>
      </c>
      <c r="D491" s="62">
        <v>0.73</v>
      </c>
      <c r="E491" s="41"/>
      <c r="F491" s="53"/>
    </row>
    <row r="492" spans="1:28" s="58" customFormat="1" ht="30" hidden="1" customHeight="1" outlineLevel="1" x14ac:dyDescent="0.4">
      <c r="A492" s="54"/>
      <c r="B492" s="48" t="s">
        <v>65</v>
      </c>
      <c r="C492" s="49" t="s">
        <v>19</v>
      </c>
      <c r="D492" s="63">
        <f>0.73</f>
        <v>0.73</v>
      </c>
      <c r="E492" s="51"/>
      <c r="F492" s="57"/>
    </row>
    <row r="493" spans="1:28" s="39" customFormat="1" ht="36" customHeight="1" collapsed="1" x14ac:dyDescent="0.35">
      <c r="A493" s="95">
        <f>A491+1</f>
        <v>210</v>
      </c>
      <c r="B493" s="25" t="s">
        <v>354</v>
      </c>
      <c r="C493" s="26" t="s">
        <v>67</v>
      </c>
      <c r="D493" s="40" t="s">
        <v>355</v>
      </c>
      <c r="E493" s="64"/>
      <c r="F493" s="34"/>
      <c r="G493" s="35"/>
      <c r="H493" s="36"/>
      <c r="I493" s="37"/>
      <c r="J493" s="37"/>
      <c r="K493" s="38"/>
      <c r="L493" s="38"/>
      <c r="M493" s="38"/>
      <c r="N493" s="36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</row>
    <row r="494" spans="1:28" s="58" customFormat="1" ht="30" hidden="1" customHeight="1" outlineLevel="1" x14ac:dyDescent="0.4">
      <c r="A494" s="54"/>
      <c r="B494" s="48" t="s">
        <v>223</v>
      </c>
      <c r="C494" s="49" t="s">
        <v>14</v>
      </c>
      <c r="D494" s="65">
        <f>7.29*13.44/1000</f>
        <v>9.7977599999999998E-2</v>
      </c>
      <c r="E494" s="51"/>
      <c r="F494" s="57"/>
    </row>
    <row r="495" spans="1:28" s="58" customFormat="1" ht="30" hidden="1" customHeight="1" outlineLevel="1" x14ac:dyDescent="0.4">
      <c r="A495" s="54"/>
      <c r="B495" s="48" t="s">
        <v>70</v>
      </c>
      <c r="C495" s="49" t="s">
        <v>14</v>
      </c>
      <c r="D495" s="65">
        <f>(0.37*78.5)/1000</f>
        <v>2.9044999999999998E-2</v>
      </c>
      <c r="E495" s="51"/>
      <c r="F495" s="57"/>
      <c r="H495" s="58">
        <f>0.2*0.2*39*78.5</f>
        <v>122.46000000000002</v>
      </c>
    </row>
    <row r="496" spans="1:28" s="58" customFormat="1" ht="30" hidden="1" customHeight="1" outlineLevel="1" x14ac:dyDescent="0.4">
      <c r="A496" s="54"/>
      <c r="B496" s="48" t="s">
        <v>220</v>
      </c>
      <c r="C496" s="49" t="s">
        <v>14</v>
      </c>
      <c r="D496" s="65">
        <f>(0.06*47.1)/1000</f>
        <v>2.826E-3</v>
      </c>
      <c r="E496" s="51"/>
      <c r="F496" s="57"/>
    </row>
    <row r="497" spans="1:28" s="58" customFormat="1" ht="30" customHeight="1" collapsed="1" x14ac:dyDescent="0.4">
      <c r="A497" s="24">
        <f>A493+1</f>
        <v>211</v>
      </c>
      <c r="B497" s="59" t="s">
        <v>71</v>
      </c>
      <c r="C497" s="26" t="s">
        <v>14</v>
      </c>
      <c r="D497" s="40">
        <v>0.13</v>
      </c>
      <c r="E497" s="66"/>
      <c r="F497" s="57"/>
    </row>
    <row r="498" spans="1:28" ht="36" customHeight="1" x14ac:dyDescent="0.35">
      <c r="A498" s="24">
        <f>A497+1</f>
        <v>212</v>
      </c>
      <c r="B498" s="59" t="s">
        <v>72</v>
      </c>
      <c r="C498" s="26" t="s">
        <v>29</v>
      </c>
      <c r="D498" s="67">
        <f>((0.114*3.14*0.54*3)+(0.3*0.3*3*2)+(0.14*0.14*3*2))</f>
        <v>1.2374952000000001</v>
      </c>
      <c r="E498" s="41"/>
      <c r="F498" s="42"/>
    </row>
    <row r="499" spans="1:28" s="58" customFormat="1" ht="30" hidden="1" customHeight="1" outlineLevel="1" x14ac:dyDescent="0.4">
      <c r="A499" s="54"/>
      <c r="B499" s="48" t="s">
        <v>73</v>
      </c>
      <c r="C499" s="49" t="s">
        <v>74</v>
      </c>
      <c r="D499" s="68">
        <f>3.31*1.2</f>
        <v>3.972</v>
      </c>
      <c r="E499" s="69">
        <v>0.20599999999999999</v>
      </c>
      <c r="F499" s="57"/>
    </row>
    <row r="500" spans="1:28" ht="36" customHeight="1" collapsed="1" x14ac:dyDescent="0.35">
      <c r="A500" s="24">
        <f>A498+1</f>
        <v>213</v>
      </c>
      <c r="B500" s="59" t="s">
        <v>75</v>
      </c>
      <c r="C500" s="26" t="s">
        <v>29</v>
      </c>
      <c r="D500" s="67">
        <f>((0.114*3.14*0.54*3)+(0.3*0.3*3*2)+(0.14*0.14*3*2))</f>
        <v>1.2374952000000001</v>
      </c>
      <c r="E500" s="41"/>
      <c r="F500" s="42"/>
    </row>
    <row r="501" spans="1:28" ht="36" customHeight="1" x14ac:dyDescent="0.35">
      <c r="A501" s="24">
        <f>A500+1</f>
        <v>214</v>
      </c>
      <c r="B501" s="59" t="s">
        <v>76</v>
      </c>
      <c r="C501" s="26" t="s">
        <v>29</v>
      </c>
      <c r="D501" s="67">
        <f>((0.114*3.14*0.54*3)+(0.3*0.3*3*2)+(0.14*0.14*3*2))</f>
        <v>1.2374952000000001</v>
      </c>
      <c r="E501" s="41"/>
      <c r="F501" s="42"/>
    </row>
    <row r="502" spans="1:28" s="58" customFormat="1" ht="30" customHeight="1" x14ac:dyDescent="0.4">
      <c r="A502" s="24">
        <f>A501+1</f>
        <v>215</v>
      </c>
      <c r="B502" s="59" t="s">
        <v>77</v>
      </c>
      <c r="C502" s="70" t="s">
        <v>29</v>
      </c>
      <c r="D502" s="67">
        <f>((0.114*3.14*0.54*3)+(0.3*0.3*3*2)+(0.14*0.14*3*2))</f>
        <v>1.2374952000000001</v>
      </c>
      <c r="E502" s="66"/>
      <c r="F502" s="57"/>
    </row>
    <row r="503" spans="1:28" s="58" customFormat="1" ht="30" hidden="1" customHeight="1" outlineLevel="1" x14ac:dyDescent="0.4">
      <c r="A503" s="54"/>
      <c r="B503" s="48" t="s">
        <v>78</v>
      </c>
      <c r="C503" s="49" t="s">
        <v>74</v>
      </c>
      <c r="D503" s="68">
        <f>D502*0.255</f>
        <v>0.31556127600000006</v>
      </c>
      <c r="E503" s="69">
        <v>1.6E-2</v>
      </c>
      <c r="F503" s="57"/>
    </row>
    <row r="504" spans="1:28" s="58" customFormat="1" ht="30" customHeight="1" collapsed="1" x14ac:dyDescent="0.4">
      <c r="A504" s="24">
        <f>A502+1</f>
        <v>216</v>
      </c>
      <c r="B504" s="59" t="s">
        <v>79</v>
      </c>
      <c r="C504" s="70" t="s">
        <v>29</v>
      </c>
      <c r="D504" s="67">
        <f>((0.114*3.14*0.54*3)+(0.3*0.3*3*2)+(0.14*0.14*3*2))</f>
        <v>1.2374952000000001</v>
      </c>
      <c r="E504" s="66"/>
      <c r="F504" s="57"/>
    </row>
    <row r="505" spans="1:28" s="58" customFormat="1" ht="30" hidden="1" customHeight="1" outlineLevel="1" x14ac:dyDescent="0.4">
      <c r="A505" s="54"/>
      <c r="B505" s="48" t="s">
        <v>80</v>
      </c>
      <c r="C505" s="49" t="s">
        <v>74</v>
      </c>
      <c r="D505" s="68">
        <f>D504*0.36*2</f>
        <v>0.89099654400000006</v>
      </c>
      <c r="E505" s="69">
        <v>4.4999999999999998E-2</v>
      </c>
      <c r="F505" s="57"/>
    </row>
    <row r="506" spans="1:28" s="39" customFormat="1" ht="21" customHeight="1" collapsed="1" x14ac:dyDescent="0.35">
      <c r="A506" s="158" t="s">
        <v>356</v>
      </c>
      <c r="B506" s="158"/>
      <c r="C506" s="158"/>
      <c r="D506" s="158"/>
      <c r="E506" s="158"/>
      <c r="F506" s="34"/>
      <c r="G506" s="35"/>
      <c r="H506" s="36"/>
      <c r="I506" s="37"/>
      <c r="J506" s="37"/>
      <c r="K506" s="38"/>
      <c r="L506" s="38"/>
      <c r="M506" s="38"/>
      <c r="N506" s="36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</row>
    <row r="507" spans="1:28" s="58" customFormat="1" ht="30" customHeight="1" x14ac:dyDescent="0.4">
      <c r="A507" s="95">
        <f>A504+1</f>
        <v>217</v>
      </c>
      <c r="B507" s="59" t="s">
        <v>357</v>
      </c>
      <c r="C507" s="70" t="s">
        <v>58</v>
      </c>
      <c r="D507" s="40">
        <v>2</v>
      </c>
      <c r="E507" s="66"/>
      <c r="F507" s="57"/>
    </row>
    <row r="508" spans="1:28" s="58" customFormat="1" ht="30.9" hidden="1" outlineLevel="1" x14ac:dyDescent="0.4">
      <c r="A508" s="54"/>
      <c r="B508" s="48" t="s">
        <v>358</v>
      </c>
      <c r="C508" s="49" t="s">
        <v>58</v>
      </c>
      <c r="D508" s="55">
        <v>2</v>
      </c>
      <c r="E508" s="51">
        <v>1.2999999999999999E-2</v>
      </c>
      <c r="F508" s="57"/>
    </row>
    <row r="509" spans="1:28" s="58" customFormat="1" ht="30" customHeight="1" collapsed="1" x14ac:dyDescent="0.4">
      <c r="A509" s="95">
        <f>A507+1</f>
        <v>218</v>
      </c>
      <c r="B509" s="83" t="s">
        <v>326</v>
      </c>
      <c r="C509" s="70" t="s">
        <v>58</v>
      </c>
      <c r="D509" s="85">
        <v>2</v>
      </c>
      <c r="E509" s="102"/>
      <c r="F509" s="57"/>
    </row>
    <row r="510" spans="1:28" s="58" customFormat="1" ht="30" hidden="1" customHeight="1" outlineLevel="1" x14ac:dyDescent="0.4">
      <c r="A510" s="87"/>
      <c r="B510" s="48" t="s">
        <v>359</v>
      </c>
      <c r="C510" s="75" t="s">
        <v>58</v>
      </c>
      <c r="D510" s="100">
        <v>2</v>
      </c>
      <c r="E510" s="101">
        <v>1E-3</v>
      </c>
      <c r="F510" s="57"/>
    </row>
    <row r="511" spans="1:28" s="58" customFormat="1" ht="30" customHeight="1" collapsed="1" x14ac:dyDescent="0.4">
      <c r="A511" s="95">
        <f>A509+1</f>
        <v>219</v>
      </c>
      <c r="B511" s="25" t="s">
        <v>360</v>
      </c>
      <c r="C511" s="89" t="s">
        <v>58</v>
      </c>
      <c r="D511" s="90">
        <v>2</v>
      </c>
      <c r="E511" s="99"/>
      <c r="F511" s="57"/>
    </row>
    <row r="512" spans="1:28" s="58" customFormat="1" ht="46.3" hidden="1" outlineLevel="1" x14ac:dyDescent="0.4">
      <c r="A512" s="87"/>
      <c r="B512" s="48" t="s">
        <v>361</v>
      </c>
      <c r="C512" s="75" t="s">
        <v>58</v>
      </c>
      <c r="D512" s="100">
        <v>2</v>
      </c>
      <c r="E512" s="101">
        <v>3.0000000000000001E-3</v>
      </c>
      <c r="F512" s="57"/>
    </row>
    <row r="513" spans="1:10" s="58" customFormat="1" ht="30" customHeight="1" collapsed="1" x14ac:dyDescent="0.4">
      <c r="A513" s="95">
        <f>A511+1</f>
        <v>220</v>
      </c>
      <c r="B513" s="59" t="s">
        <v>158</v>
      </c>
      <c r="C513" s="70" t="s">
        <v>67</v>
      </c>
      <c r="D513" s="40" t="s">
        <v>362</v>
      </c>
      <c r="E513" s="66"/>
      <c r="F513" s="57"/>
    </row>
    <row r="514" spans="1:10" s="58" customFormat="1" ht="30" hidden="1" customHeight="1" outlineLevel="1" x14ac:dyDescent="0.4">
      <c r="A514" s="54"/>
      <c r="B514" s="48" t="s">
        <v>363</v>
      </c>
      <c r="C514" s="49" t="s">
        <v>58</v>
      </c>
      <c r="D514" s="55">
        <v>3</v>
      </c>
      <c r="E514" s="51">
        <v>3.0000000000000001E-3</v>
      </c>
      <c r="F514" s="57"/>
    </row>
    <row r="515" spans="1:10" ht="36" customHeight="1" collapsed="1" x14ac:dyDescent="0.35">
      <c r="A515" s="95">
        <f>A513+1</f>
        <v>221</v>
      </c>
      <c r="B515" s="59" t="s">
        <v>72</v>
      </c>
      <c r="C515" s="26" t="s">
        <v>29</v>
      </c>
      <c r="D515" s="67">
        <f>(0.219*3.14*11)</f>
        <v>7.5642600000000009</v>
      </c>
      <c r="E515" s="41"/>
      <c r="F515" s="42"/>
    </row>
    <row r="516" spans="1:10" s="58" customFormat="1" ht="30" hidden="1" customHeight="1" outlineLevel="1" x14ac:dyDescent="0.4">
      <c r="A516" s="54"/>
      <c r="B516" s="48" t="s">
        <v>73</v>
      </c>
      <c r="C516" s="49" t="s">
        <v>74</v>
      </c>
      <c r="D516" s="68">
        <f>3.31*D515</f>
        <v>25.037700600000004</v>
      </c>
      <c r="E516" s="69">
        <v>2.5000000000000001E-2</v>
      </c>
      <c r="F516" s="57"/>
    </row>
    <row r="517" spans="1:10" ht="36" customHeight="1" collapsed="1" x14ac:dyDescent="0.35">
      <c r="A517" s="24">
        <f>A515+1</f>
        <v>222</v>
      </c>
      <c r="B517" s="59" t="s">
        <v>75</v>
      </c>
      <c r="C517" s="26" t="s">
        <v>29</v>
      </c>
      <c r="D517" s="67">
        <f>(0.219*3.14*11)</f>
        <v>7.5642600000000009</v>
      </c>
      <c r="E517" s="41"/>
      <c r="F517" s="42"/>
    </row>
    <row r="518" spans="1:10" ht="36" customHeight="1" x14ac:dyDescent="0.35">
      <c r="A518" s="24">
        <f>A517+1</f>
        <v>223</v>
      </c>
      <c r="B518" s="59" t="s">
        <v>76</v>
      </c>
      <c r="C518" s="26" t="s">
        <v>29</v>
      </c>
      <c r="D518" s="67">
        <f>(0.219*3.14*11)</f>
        <v>7.5642600000000009</v>
      </c>
      <c r="E518" s="41"/>
      <c r="F518" s="42"/>
    </row>
    <row r="519" spans="1:10" s="58" customFormat="1" ht="30" customHeight="1" x14ac:dyDescent="0.4">
      <c r="A519" s="24">
        <f>A518+1</f>
        <v>224</v>
      </c>
      <c r="B519" s="59" t="s">
        <v>77</v>
      </c>
      <c r="C519" s="70" t="s">
        <v>29</v>
      </c>
      <c r="D519" s="67">
        <f>(0.219*3.14*11)</f>
        <v>7.5642600000000009</v>
      </c>
      <c r="E519" s="66"/>
      <c r="F519" s="57"/>
    </row>
    <row r="520" spans="1:10" s="58" customFormat="1" ht="30" hidden="1" customHeight="1" outlineLevel="1" x14ac:dyDescent="0.4">
      <c r="A520" s="54"/>
      <c r="B520" s="48" t="s">
        <v>78</v>
      </c>
      <c r="C520" s="49" t="s">
        <v>74</v>
      </c>
      <c r="D520" s="68">
        <f>D519*0.255</f>
        <v>1.9288863000000003</v>
      </c>
      <c r="E520" s="69">
        <v>1E-3</v>
      </c>
      <c r="F520" s="57"/>
    </row>
    <row r="521" spans="1:10" s="58" customFormat="1" ht="30" customHeight="1" collapsed="1" x14ac:dyDescent="0.4">
      <c r="A521" s="95">
        <f>A519+1</f>
        <v>225</v>
      </c>
      <c r="B521" s="59" t="s">
        <v>79</v>
      </c>
      <c r="C521" s="70" t="s">
        <v>29</v>
      </c>
      <c r="D521" s="67">
        <f>(0.219*3.14*11)</f>
        <v>7.5642600000000009</v>
      </c>
      <c r="E521" s="66"/>
      <c r="F521" s="57"/>
    </row>
    <row r="522" spans="1:10" s="58" customFormat="1" ht="30" hidden="1" customHeight="1" outlineLevel="1" x14ac:dyDescent="0.4">
      <c r="A522" s="54"/>
      <c r="B522" s="48" t="s">
        <v>80</v>
      </c>
      <c r="C522" s="49" t="s">
        <v>74</v>
      </c>
      <c r="D522" s="68">
        <f>D521*0.36*2</f>
        <v>5.4462672000000003</v>
      </c>
      <c r="E522" s="69">
        <v>5.0000000000000001E-3</v>
      </c>
      <c r="F522" s="57"/>
    </row>
    <row r="523" spans="1:10" s="58" customFormat="1" ht="46.3" collapsed="1" x14ac:dyDescent="0.4">
      <c r="A523" s="95">
        <f>A521+1</f>
        <v>226</v>
      </c>
      <c r="B523" s="59" t="s">
        <v>364</v>
      </c>
      <c r="C523" s="70" t="s">
        <v>19</v>
      </c>
      <c r="D523" s="67">
        <v>0.7</v>
      </c>
      <c r="E523" s="66"/>
      <c r="F523" s="57"/>
    </row>
    <row r="524" spans="1:10" s="58" customFormat="1" ht="30.9" hidden="1" outlineLevel="1" x14ac:dyDescent="0.4">
      <c r="A524" s="54"/>
      <c r="B524" s="48" t="s">
        <v>365</v>
      </c>
      <c r="C524" s="49" t="s">
        <v>19</v>
      </c>
      <c r="D524" s="68">
        <f>0.7*1.08</f>
        <v>0.75600000000000001</v>
      </c>
      <c r="E524" s="69">
        <v>1E-3</v>
      </c>
      <c r="F524" s="57"/>
      <c r="J524" s="58">
        <v>1.08</v>
      </c>
    </row>
    <row r="525" spans="1:10" s="58" customFormat="1" ht="30" customHeight="1" collapsed="1" x14ac:dyDescent="0.4">
      <c r="A525" s="95">
        <f>A523+1</f>
        <v>227</v>
      </c>
      <c r="B525" s="59" t="s">
        <v>366</v>
      </c>
      <c r="C525" s="70" t="s">
        <v>29</v>
      </c>
      <c r="D525" s="67">
        <v>13.35</v>
      </c>
      <c r="E525" s="66"/>
      <c r="F525" s="57"/>
    </row>
    <row r="526" spans="1:10" s="58" customFormat="1" ht="30" hidden="1" customHeight="1" outlineLevel="1" x14ac:dyDescent="0.4">
      <c r="A526" s="54"/>
      <c r="B526" s="48" t="s">
        <v>367</v>
      </c>
      <c r="C526" s="49" t="s">
        <v>29</v>
      </c>
      <c r="D526" s="68">
        <f>13.35*1.22</f>
        <v>16.286999999999999</v>
      </c>
      <c r="E526" s="69"/>
      <c r="F526" s="57"/>
      <c r="J526" s="58">
        <v>1.22</v>
      </c>
    </row>
    <row r="527" spans="1:10" s="58" customFormat="1" ht="30" customHeight="1" collapsed="1" x14ac:dyDescent="0.4">
      <c r="A527" s="95">
        <f>A525+1</f>
        <v>228</v>
      </c>
      <c r="B527" s="59" t="s">
        <v>368</v>
      </c>
      <c r="C527" s="70" t="s">
        <v>58</v>
      </c>
      <c r="D527" s="40">
        <v>3</v>
      </c>
      <c r="E527" s="66"/>
      <c r="F527" s="57"/>
    </row>
    <row r="528" spans="1:10" s="58" customFormat="1" ht="30" hidden="1" customHeight="1" outlineLevel="1" x14ac:dyDescent="0.4">
      <c r="A528" s="54"/>
      <c r="B528" s="48" t="s">
        <v>369</v>
      </c>
      <c r="C528" s="49" t="s">
        <v>58</v>
      </c>
      <c r="D528" s="75">
        <v>3</v>
      </c>
      <c r="E528" s="51"/>
      <c r="F528" s="57"/>
    </row>
    <row r="529" spans="1:28" s="39" customFormat="1" ht="21" customHeight="1" collapsed="1" x14ac:dyDescent="0.35">
      <c r="A529" s="158" t="s">
        <v>370</v>
      </c>
      <c r="B529" s="158"/>
      <c r="C529" s="158"/>
      <c r="D529" s="158"/>
      <c r="E529" s="158"/>
      <c r="F529" s="34"/>
      <c r="G529" s="35"/>
      <c r="H529" s="36"/>
      <c r="I529" s="37"/>
      <c r="J529" s="37"/>
      <c r="K529" s="38"/>
      <c r="L529" s="38"/>
      <c r="M529" s="38"/>
      <c r="N529" s="36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</row>
    <row r="530" spans="1:28" s="58" customFormat="1" ht="30" customHeight="1" x14ac:dyDescent="0.4">
      <c r="A530" s="92">
        <f>A527+1</f>
        <v>229</v>
      </c>
      <c r="B530" s="71" t="s">
        <v>240</v>
      </c>
      <c r="C530" s="40" t="s">
        <v>58</v>
      </c>
      <c r="D530" s="82">
        <v>3</v>
      </c>
      <c r="E530" s="66"/>
      <c r="F530" s="57"/>
    </row>
    <row r="531" spans="1:28" s="58" customFormat="1" ht="30" hidden="1" customHeight="1" outlineLevel="1" x14ac:dyDescent="0.4">
      <c r="A531" s="54"/>
      <c r="B531" s="48" t="s">
        <v>241</v>
      </c>
      <c r="C531" s="49" t="s">
        <v>14</v>
      </c>
      <c r="D531" s="65">
        <f>0.6*1.88*3/1000</f>
        <v>3.3839999999999994E-3</v>
      </c>
      <c r="E531" s="51"/>
      <c r="F531" s="57"/>
    </row>
    <row r="532" spans="1:28" s="58" customFormat="1" ht="30" hidden="1" customHeight="1" outlineLevel="1" x14ac:dyDescent="0.4">
      <c r="A532" s="54"/>
      <c r="B532" s="48" t="s">
        <v>242</v>
      </c>
      <c r="C532" s="49" t="s">
        <v>58</v>
      </c>
      <c r="D532" s="55">
        <v>6</v>
      </c>
      <c r="E532" s="51"/>
      <c r="F532" s="57"/>
    </row>
    <row r="533" spans="1:28" s="58" customFormat="1" ht="30" hidden="1" customHeight="1" outlineLevel="1" x14ac:dyDescent="0.4">
      <c r="A533" s="54"/>
      <c r="B533" s="48" t="s">
        <v>243</v>
      </c>
      <c r="C533" s="49" t="s">
        <v>58</v>
      </c>
      <c r="D533" s="55">
        <v>18</v>
      </c>
      <c r="E533" s="51"/>
      <c r="F533" s="57"/>
    </row>
    <row r="534" spans="1:28" s="58" customFormat="1" ht="30" hidden="1" customHeight="1" outlineLevel="1" x14ac:dyDescent="0.4">
      <c r="A534" s="54"/>
      <c r="B534" s="48" t="s">
        <v>244</v>
      </c>
      <c r="C534" s="49" t="s">
        <v>58</v>
      </c>
      <c r="D534" s="55">
        <v>6</v>
      </c>
      <c r="E534" s="51"/>
      <c r="F534" s="57"/>
    </row>
    <row r="535" spans="1:28" s="58" customFormat="1" ht="30" hidden="1" customHeight="1" outlineLevel="1" x14ac:dyDescent="0.4">
      <c r="A535" s="54"/>
      <c r="B535" s="48" t="s">
        <v>245</v>
      </c>
      <c r="C535" s="49" t="s">
        <v>58</v>
      </c>
      <c r="D535" s="55">
        <v>12</v>
      </c>
      <c r="E535" s="51"/>
      <c r="F535" s="57"/>
    </row>
    <row r="536" spans="1:28" s="58" customFormat="1" ht="30" hidden="1" customHeight="1" outlineLevel="1" x14ac:dyDescent="0.4">
      <c r="A536" s="54"/>
      <c r="B536" s="48" t="s">
        <v>246</v>
      </c>
      <c r="C536" s="49" t="s">
        <v>58</v>
      </c>
      <c r="D536" s="55">
        <v>24</v>
      </c>
      <c r="E536" s="51"/>
      <c r="F536" s="57"/>
    </row>
    <row r="537" spans="1:28" s="58" customFormat="1" ht="30" hidden="1" customHeight="1" outlineLevel="1" x14ac:dyDescent="0.4">
      <c r="A537" s="54"/>
      <c r="B537" s="48" t="s">
        <v>247</v>
      </c>
      <c r="C537" s="49" t="s">
        <v>58</v>
      </c>
      <c r="D537" s="55">
        <v>24</v>
      </c>
      <c r="E537" s="51"/>
      <c r="F537" s="57"/>
    </row>
    <row r="538" spans="1:28" s="39" customFormat="1" ht="21" customHeight="1" collapsed="1" x14ac:dyDescent="0.35">
      <c r="A538" s="158" t="s">
        <v>371</v>
      </c>
      <c r="B538" s="158"/>
      <c r="C538" s="158"/>
      <c r="D538" s="158"/>
      <c r="E538" s="158"/>
      <c r="F538" s="34"/>
      <c r="G538" s="35"/>
      <c r="H538" s="36"/>
      <c r="I538" s="37"/>
      <c r="J538" s="37"/>
      <c r="K538" s="38"/>
      <c r="L538" s="38"/>
      <c r="M538" s="38"/>
      <c r="N538" s="36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</row>
    <row r="539" spans="1:28" s="39" customFormat="1" ht="21" customHeight="1" x14ac:dyDescent="0.35">
      <c r="A539" s="154" t="s">
        <v>372</v>
      </c>
      <c r="B539" s="154"/>
      <c r="C539" s="154"/>
      <c r="D539" s="154"/>
      <c r="E539" s="154"/>
      <c r="F539" s="34"/>
      <c r="G539" s="35"/>
      <c r="H539" s="36"/>
      <c r="I539" s="37"/>
      <c r="J539" s="37"/>
      <c r="K539" s="38"/>
      <c r="L539" s="38"/>
      <c r="M539" s="38"/>
      <c r="N539" s="36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</row>
    <row r="540" spans="1:28" ht="30" customHeight="1" x14ac:dyDescent="0.35">
      <c r="A540" s="92">
        <f>A530+1</f>
        <v>230</v>
      </c>
      <c r="B540" s="59" t="s">
        <v>373</v>
      </c>
      <c r="C540" s="60" t="s">
        <v>62</v>
      </c>
      <c r="D540" s="61" t="s">
        <v>374</v>
      </c>
      <c r="E540" s="41"/>
      <c r="F540" s="42"/>
    </row>
    <row r="541" spans="1:28" ht="33" customHeight="1" x14ac:dyDescent="0.35">
      <c r="A541" s="24">
        <f>A540+1</f>
        <v>231</v>
      </c>
      <c r="B541" s="25" t="s">
        <v>64</v>
      </c>
      <c r="C541" s="26" t="s">
        <v>19</v>
      </c>
      <c r="D541" s="62">
        <f>0.35*5</f>
        <v>1.75</v>
      </c>
      <c r="E541" s="41"/>
      <c r="F541" s="53"/>
    </row>
    <row r="542" spans="1:28" s="58" customFormat="1" ht="30" hidden="1" customHeight="1" outlineLevel="1" x14ac:dyDescent="0.4">
      <c r="A542" s="54"/>
      <c r="B542" s="48" t="s">
        <v>65</v>
      </c>
      <c r="C542" s="49" t="s">
        <v>19</v>
      </c>
      <c r="D542" s="63">
        <f>1.75</f>
        <v>1.75</v>
      </c>
      <c r="E542" s="51"/>
      <c r="F542" s="57"/>
    </row>
    <row r="543" spans="1:28" s="58" customFormat="1" ht="30" customHeight="1" collapsed="1" x14ac:dyDescent="0.4">
      <c r="A543" s="95">
        <f>A541+1</f>
        <v>232</v>
      </c>
      <c r="B543" s="59" t="s">
        <v>71</v>
      </c>
      <c r="C543" s="26" t="s">
        <v>14</v>
      </c>
      <c r="D543" s="27">
        <f>(12.96+2.4+3.8+3.89+1.05+0.29+0.29)*5/1000</f>
        <v>0.12340000000000001</v>
      </c>
      <c r="E543" s="66"/>
      <c r="F543" s="57"/>
    </row>
    <row r="544" spans="1:28" s="58" customFormat="1" ht="30" hidden="1" customHeight="1" outlineLevel="1" x14ac:dyDescent="0.4">
      <c r="A544" s="54"/>
      <c r="B544" s="48" t="s">
        <v>375</v>
      </c>
      <c r="C544" s="49" t="s">
        <v>58</v>
      </c>
      <c r="D544" s="54">
        <v>5</v>
      </c>
      <c r="E544" s="51"/>
      <c r="F544" s="57"/>
    </row>
    <row r="545" spans="1:28" s="14" customFormat="1" ht="20.25" customHeight="1" collapsed="1" x14ac:dyDescent="0.4">
      <c r="A545" s="157" t="s">
        <v>376</v>
      </c>
      <c r="B545" s="157"/>
      <c r="C545" s="157"/>
      <c r="D545" s="157"/>
      <c r="E545" s="157"/>
      <c r="F545" s="21"/>
      <c r="G545" s="2"/>
      <c r="H545" s="13"/>
      <c r="I545" s="2"/>
      <c r="J545" s="2" t="s">
        <v>16</v>
      </c>
      <c r="K545" s="3"/>
      <c r="L545" s="3"/>
      <c r="M545" s="3"/>
      <c r="N545" s="1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s="39" customFormat="1" ht="30" customHeight="1" x14ac:dyDescent="0.35">
      <c r="A546" s="153" t="s">
        <v>48</v>
      </c>
      <c r="B546" s="153"/>
      <c r="C546" s="153"/>
      <c r="D546" s="153"/>
      <c r="E546" s="153"/>
      <c r="F546" s="34"/>
      <c r="G546" s="35"/>
      <c r="H546" s="36"/>
      <c r="I546" s="37"/>
      <c r="J546" s="37"/>
      <c r="K546" s="38"/>
      <c r="L546" s="38"/>
      <c r="M546" s="38"/>
      <c r="N546" s="36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</row>
    <row r="547" spans="1:28" s="39" customFormat="1" ht="21" customHeight="1" x14ac:dyDescent="0.35">
      <c r="A547" s="158" t="s">
        <v>377</v>
      </c>
      <c r="B547" s="158"/>
      <c r="C547" s="158"/>
      <c r="D547" s="158"/>
      <c r="E547" s="158"/>
      <c r="F547" s="34"/>
      <c r="G547" s="35"/>
      <c r="H547" s="36"/>
      <c r="I547" s="37"/>
      <c r="J547" s="37"/>
      <c r="K547" s="38"/>
      <c r="L547" s="38"/>
      <c r="M547" s="38"/>
      <c r="N547" s="36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</row>
    <row r="548" spans="1:28" s="39" customFormat="1" ht="21" customHeight="1" x14ac:dyDescent="0.35">
      <c r="A548" s="154" t="s">
        <v>50</v>
      </c>
      <c r="B548" s="154"/>
      <c r="C548" s="154"/>
      <c r="D548" s="154"/>
      <c r="E548" s="154"/>
      <c r="F548" s="34"/>
      <c r="G548" s="35"/>
      <c r="H548" s="36"/>
      <c r="I548" s="37"/>
      <c r="J548" s="37"/>
      <c r="K548" s="38"/>
      <c r="L548" s="38"/>
      <c r="M548" s="38"/>
      <c r="N548" s="36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</row>
    <row r="549" spans="1:28" ht="30" customHeight="1" x14ac:dyDescent="0.35">
      <c r="A549" s="92">
        <f>A543+1</f>
        <v>233</v>
      </c>
      <c r="B549" s="25" t="s">
        <v>51</v>
      </c>
      <c r="C549" s="26" t="s">
        <v>19</v>
      </c>
      <c r="D549" s="40">
        <v>17.399999999999999</v>
      </c>
      <c r="E549" s="41"/>
      <c r="F549" s="42"/>
    </row>
    <row r="550" spans="1:28" ht="31" hidden="1" customHeight="1" outlineLevel="1" x14ac:dyDescent="0.35">
      <c r="A550" s="47"/>
      <c r="B550" s="48" t="s">
        <v>52</v>
      </c>
      <c r="C550" s="49" t="s">
        <v>19</v>
      </c>
      <c r="D550" s="50">
        <f>17.4</f>
        <v>17.399999999999999</v>
      </c>
      <c r="E550" s="51"/>
      <c r="F550" s="42"/>
    </row>
    <row r="551" spans="1:28" ht="30" customHeight="1" collapsed="1" x14ac:dyDescent="0.35">
      <c r="A551" s="24">
        <f>A549+1</f>
        <v>234</v>
      </c>
      <c r="B551" s="25" t="s">
        <v>53</v>
      </c>
      <c r="C551" s="26" t="s">
        <v>19</v>
      </c>
      <c r="D551" s="40">
        <v>3.1</v>
      </c>
      <c r="E551" s="41"/>
      <c r="F551" s="42"/>
    </row>
    <row r="552" spans="1:28" ht="31" hidden="1" customHeight="1" outlineLevel="1" x14ac:dyDescent="0.35">
      <c r="A552" s="47"/>
      <c r="B552" s="48" t="s">
        <v>37</v>
      </c>
      <c r="C552" s="49" t="s">
        <v>19</v>
      </c>
      <c r="D552" s="50">
        <f>3.1</f>
        <v>3.1</v>
      </c>
      <c r="E552" s="51"/>
      <c r="F552" s="42"/>
    </row>
    <row r="553" spans="1:28" ht="33" customHeight="1" collapsed="1" x14ac:dyDescent="0.35">
      <c r="A553" s="24">
        <f>A551+1</f>
        <v>235</v>
      </c>
      <c r="B553" s="25" t="s">
        <v>54</v>
      </c>
      <c r="C553" s="26" t="s">
        <v>55</v>
      </c>
      <c r="D553" s="40" t="s">
        <v>56</v>
      </c>
      <c r="E553" s="41"/>
      <c r="F553" s="53"/>
    </row>
    <row r="554" spans="1:28" s="58" customFormat="1" ht="30" hidden="1" customHeight="1" outlineLevel="1" x14ac:dyDescent="0.4">
      <c r="A554" s="54"/>
      <c r="B554" s="48" t="s">
        <v>57</v>
      </c>
      <c r="C554" s="49" t="s">
        <v>58</v>
      </c>
      <c r="D554" s="55">
        <v>4</v>
      </c>
      <c r="E554" s="56">
        <v>16.8</v>
      </c>
      <c r="F554" s="57"/>
    </row>
    <row r="555" spans="1:28" s="39" customFormat="1" ht="21" customHeight="1" collapsed="1" x14ac:dyDescent="0.35">
      <c r="A555" s="154" t="s">
        <v>59</v>
      </c>
      <c r="B555" s="154"/>
      <c r="C555" s="154"/>
      <c r="D555" s="154"/>
      <c r="E555" s="154"/>
      <c r="F555" s="34"/>
      <c r="G555" s="35"/>
      <c r="H555" s="36"/>
      <c r="I555" s="37"/>
      <c r="J555" s="37"/>
      <c r="K555" s="38"/>
      <c r="L555" s="38"/>
      <c r="M555" s="38"/>
      <c r="N555" s="36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</row>
    <row r="556" spans="1:28" ht="30" customHeight="1" x14ac:dyDescent="0.35">
      <c r="A556" s="24">
        <f>A553+1</f>
        <v>236</v>
      </c>
      <c r="B556" s="25" t="s">
        <v>51</v>
      </c>
      <c r="C556" s="26" t="s">
        <v>19</v>
      </c>
      <c r="D556" s="40">
        <v>17.399999999999999</v>
      </c>
      <c r="E556" s="41"/>
      <c r="F556" s="42"/>
    </row>
    <row r="557" spans="1:28" ht="31" hidden="1" customHeight="1" outlineLevel="1" x14ac:dyDescent="0.35">
      <c r="A557" s="47"/>
      <c r="B557" s="48" t="s">
        <v>52</v>
      </c>
      <c r="C557" s="49" t="s">
        <v>19</v>
      </c>
      <c r="D557" s="50">
        <f>17.4</f>
        <v>17.399999999999999</v>
      </c>
      <c r="E557" s="51"/>
      <c r="F557" s="42"/>
    </row>
    <row r="558" spans="1:28" ht="30" customHeight="1" collapsed="1" x14ac:dyDescent="0.35">
      <c r="A558" s="24">
        <f>A556+1</f>
        <v>237</v>
      </c>
      <c r="B558" s="25" t="s">
        <v>53</v>
      </c>
      <c r="C558" s="26" t="s">
        <v>19</v>
      </c>
      <c r="D558" s="40">
        <v>3.1</v>
      </c>
      <c r="E558" s="41"/>
      <c r="F558" s="42"/>
    </row>
    <row r="559" spans="1:28" ht="31" hidden="1" customHeight="1" outlineLevel="1" x14ac:dyDescent="0.35">
      <c r="A559" s="47"/>
      <c r="B559" s="48" t="s">
        <v>52</v>
      </c>
      <c r="C559" s="49" t="s">
        <v>19</v>
      </c>
      <c r="D559" s="50">
        <f>3.1</f>
        <v>3.1</v>
      </c>
      <c r="E559" s="51"/>
      <c r="F559" s="42"/>
    </row>
    <row r="560" spans="1:28" ht="33" customHeight="1" collapsed="1" x14ac:dyDescent="0.35">
      <c r="A560" s="24">
        <f>A558+1</f>
        <v>238</v>
      </c>
      <c r="B560" s="25" t="s">
        <v>54</v>
      </c>
      <c r="C560" s="26" t="s">
        <v>55</v>
      </c>
      <c r="D560" s="40" t="s">
        <v>56</v>
      </c>
      <c r="E560" s="41"/>
      <c r="F560" s="53"/>
    </row>
    <row r="561" spans="1:28" s="58" customFormat="1" ht="30" hidden="1" customHeight="1" outlineLevel="1" x14ac:dyDescent="0.4">
      <c r="A561" s="54"/>
      <c r="B561" s="48" t="s">
        <v>57</v>
      </c>
      <c r="C561" s="49" t="s">
        <v>58</v>
      </c>
      <c r="D561" s="55">
        <v>4</v>
      </c>
      <c r="E561" s="56">
        <v>16.8</v>
      </c>
      <c r="F561" s="57"/>
    </row>
    <row r="562" spans="1:28" s="39" customFormat="1" ht="21" customHeight="1" collapsed="1" x14ac:dyDescent="0.35">
      <c r="A562" s="154" t="s">
        <v>60</v>
      </c>
      <c r="B562" s="154"/>
      <c r="C562" s="154"/>
      <c r="D562" s="154"/>
      <c r="E562" s="154"/>
      <c r="F562" s="34"/>
      <c r="G562" s="35"/>
      <c r="H562" s="36"/>
      <c r="I562" s="37"/>
      <c r="J562" s="37"/>
      <c r="K562" s="38"/>
      <c r="L562" s="38"/>
      <c r="M562" s="38"/>
      <c r="N562" s="36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</row>
    <row r="563" spans="1:28" ht="30" customHeight="1" x14ac:dyDescent="0.35">
      <c r="A563" s="24">
        <f>A560+1</f>
        <v>239</v>
      </c>
      <c r="B563" s="59" t="s">
        <v>61</v>
      </c>
      <c r="C563" s="60" t="s">
        <v>62</v>
      </c>
      <c r="D563" s="61" t="s">
        <v>63</v>
      </c>
      <c r="E563" s="41"/>
      <c r="F563" s="42"/>
    </row>
    <row r="564" spans="1:28" ht="33" customHeight="1" x14ac:dyDescent="0.35">
      <c r="A564" s="24">
        <f>A563+1</f>
        <v>240</v>
      </c>
      <c r="B564" s="25" t="s">
        <v>64</v>
      </c>
      <c r="C564" s="26" t="s">
        <v>19</v>
      </c>
      <c r="D564" s="62">
        <v>0.22</v>
      </c>
      <c r="E564" s="41"/>
      <c r="F564" s="53"/>
    </row>
    <row r="565" spans="1:28" s="58" customFormat="1" ht="30" hidden="1" customHeight="1" outlineLevel="1" x14ac:dyDescent="0.4">
      <c r="A565" s="54"/>
      <c r="B565" s="48" t="s">
        <v>65</v>
      </c>
      <c r="C565" s="49" t="s">
        <v>19</v>
      </c>
      <c r="D565" s="63">
        <f>0.22</f>
        <v>0.22</v>
      </c>
      <c r="E565" s="51"/>
      <c r="F565" s="57"/>
    </row>
    <row r="566" spans="1:28" s="39" customFormat="1" ht="36" customHeight="1" collapsed="1" x14ac:dyDescent="0.35">
      <c r="A566" s="24">
        <f>A564+1</f>
        <v>241</v>
      </c>
      <c r="B566" s="25" t="s">
        <v>66</v>
      </c>
      <c r="C566" s="26" t="s">
        <v>67</v>
      </c>
      <c r="D566" s="40" t="s">
        <v>68</v>
      </c>
      <c r="E566" s="64"/>
      <c r="F566" s="34"/>
      <c r="G566" s="35"/>
      <c r="H566" s="36"/>
      <c r="I566" s="37"/>
      <c r="J566" s="37"/>
      <c r="K566" s="38"/>
      <c r="L566" s="38"/>
      <c r="M566" s="38"/>
      <c r="N566" s="36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</row>
    <row r="567" spans="1:28" s="58" customFormat="1" ht="30" hidden="1" customHeight="1" outlineLevel="1" x14ac:dyDescent="0.4">
      <c r="A567" s="54"/>
      <c r="B567" s="48" t="s">
        <v>69</v>
      </c>
      <c r="C567" s="49" t="s">
        <v>14</v>
      </c>
      <c r="D567" s="65">
        <f>45.56/1000</f>
        <v>4.5560000000000003E-2</v>
      </c>
      <c r="E567" s="51"/>
      <c r="F567" s="57"/>
    </row>
    <row r="568" spans="1:28" s="58" customFormat="1" ht="30" hidden="1" customHeight="1" outlineLevel="1" x14ac:dyDescent="0.4">
      <c r="A568" s="54"/>
      <c r="B568" s="48" t="s">
        <v>70</v>
      </c>
      <c r="C568" s="49" t="s">
        <v>14</v>
      </c>
      <c r="D568" s="65">
        <f>(3.14+7.07)/1000</f>
        <v>1.021E-2</v>
      </c>
      <c r="E568" s="51"/>
      <c r="F568" s="57"/>
    </row>
    <row r="569" spans="1:28" s="58" customFormat="1" ht="30" customHeight="1" collapsed="1" x14ac:dyDescent="0.4">
      <c r="A569" s="24">
        <f>A566+1</f>
        <v>242</v>
      </c>
      <c r="B569" s="59" t="s">
        <v>71</v>
      </c>
      <c r="C569" s="26" t="s">
        <v>14</v>
      </c>
      <c r="D569" s="40">
        <v>5.6000000000000001E-2</v>
      </c>
      <c r="E569" s="66"/>
      <c r="F569" s="57"/>
    </row>
    <row r="570" spans="1:28" ht="36" customHeight="1" x14ac:dyDescent="0.35">
      <c r="A570" s="24">
        <f>A569+1</f>
        <v>243</v>
      </c>
      <c r="B570" s="59" t="s">
        <v>72</v>
      </c>
      <c r="C570" s="26" t="s">
        <v>29</v>
      </c>
      <c r="D570" s="67">
        <f>((0.114*3.14*0.54)+(0.3*0.3*2))*1</f>
        <v>0.37329840000000003</v>
      </c>
      <c r="E570" s="41"/>
      <c r="F570" s="42"/>
    </row>
    <row r="571" spans="1:28" s="58" customFormat="1" ht="30" hidden="1" customHeight="1" outlineLevel="1" x14ac:dyDescent="0.4">
      <c r="A571" s="54"/>
      <c r="B571" s="48" t="s">
        <v>73</v>
      </c>
      <c r="C571" s="49" t="s">
        <v>74</v>
      </c>
      <c r="D571" s="68">
        <f>3.31*0.4</f>
        <v>1.3240000000000001</v>
      </c>
      <c r="E571" s="69">
        <v>1E-3</v>
      </c>
      <c r="F571" s="57"/>
    </row>
    <row r="572" spans="1:28" ht="36" customHeight="1" collapsed="1" x14ac:dyDescent="0.35">
      <c r="A572" s="24">
        <f>A570+1</f>
        <v>244</v>
      </c>
      <c r="B572" s="59" t="s">
        <v>75</v>
      </c>
      <c r="C572" s="26" t="s">
        <v>29</v>
      </c>
      <c r="D572" s="67">
        <f>((0.114*3.14*0.54)+(0.3*0.3*2))*1</f>
        <v>0.37329840000000003</v>
      </c>
      <c r="E572" s="41"/>
      <c r="F572" s="42"/>
    </row>
    <row r="573" spans="1:28" ht="36" customHeight="1" x14ac:dyDescent="0.35">
      <c r="A573" s="24">
        <f>A572+1</f>
        <v>245</v>
      </c>
      <c r="B573" s="59" t="s">
        <v>76</v>
      </c>
      <c r="C573" s="26" t="s">
        <v>29</v>
      </c>
      <c r="D573" s="67">
        <f>((0.114*3.14*0.54)+(0.3*0.3*2))*1</f>
        <v>0.37329840000000003</v>
      </c>
      <c r="E573" s="41"/>
      <c r="F573" s="42"/>
    </row>
    <row r="574" spans="1:28" s="58" customFormat="1" ht="30" customHeight="1" x14ac:dyDescent="0.4">
      <c r="A574" s="24">
        <f>A573+1</f>
        <v>246</v>
      </c>
      <c r="B574" s="59" t="s">
        <v>77</v>
      </c>
      <c r="C574" s="70" t="s">
        <v>29</v>
      </c>
      <c r="D574" s="67">
        <f>((0.114*3.14*0.54)+(0.3*0.3*2))*1</f>
        <v>0.37329840000000003</v>
      </c>
      <c r="E574" s="66"/>
      <c r="F574" s="57"/>
    </row>
    <row r="575" spans="1:28" s="58" customFormat="1" ht="30" hidden="1" customHeight="1" outlineLevel="1" x14ac:dyDescent="0.4">
      <c r="A575" s="54"/>
      <c r="B575" s="48" t="s">
        <v>78</v>
      </c>
      <c r="C575" s="49" t="s">
        <v>74</v>
      </c>
      <c r="D575" s="68">
        <f>0.4*0.255</f>
        <v>0.10200000000000001</v>
      </c>
      <c r="E575" s="69">
        <v>1E-3</v>
      </c>
      <c r="F575" s="57"/>
    </row>
    <row r="576" spans="1:28" s="58" customFormat="1" ht="30" customHeight="1" collapsed="1" x14ac:dyDescent="0.4">
      <c r="A576" s="24">
        <f>A574+1</f>
        <v>247</v>
      </c>
      <c r="B576" s="59" t="s">
        <v>79</v>
      </c>
      <c r="C576" s="70" t="s">
        <v>29</v>
      </c>
      <c r="D576" s="67">
        <f>((0.114*3.14*0.54)+(0.3*0.3*2))*1</f>
        <v>0.37329840000000003</v>
      </c>
      <c r="E576" s="66"/>
      <c r="F576" s="57"/>
    </row>
    <row r="577" spans="1:28" s="58" customFormat="1" ht="30" hidden="1" customHeight="1" outlineLevel="1" x14ac:dyDescent="0.4">
      <c r="A577" s="54"/>
      <c r="B577" s="48" t="s">
        <v>80</v>
      </c>
      <c r="C577" s="49" t="s">
        <v>74</v>
      </c>
      <c r="D577" s="68">
        <f>0.4*0.36*2</f>
        <v>0.28799999999999998</v>
      </c>
      <c r="E577" s="69"/>
      <c r="F577" s="57"/>
    </row>
    <row r="578" spans="1:28" s="39" customFormat="1" ht="30" customHeight="1" collapsed="1" x14ac:dyDescent="0.35">
      <c r="A578" s="153" t="s">
        <v>81</v>
      </c>
      <c r="B578" s="153"/>
      <c r="C578" s="153"/>
      <c r="D578" s="153"/>
      <c r="E578" s="153"/>
      <c r="F578" s="34"/>
      <c r="G578" s="35"/>
      <c r="H578" s="36"/>
      <c r="I578" s="37"/>
      <c r="J578" s="37"/>
      <c r="K578" s="38"/>
      <c r="L578" s="38"/>
      <c r="M578" s="38"/>
      <c r="N578" s="36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</row>
    <row r="579" spans="1:28" s="39" customFormat="1" ht="21" customHeight="1" x14ac:dyDescent="0.35">
      <c r="A579" s="158" t="s">
        <v>378</v>
      </c>
      <c r="B579" s="158"/>
      <c r="C579" s="158"/>
      <c r="D579" s="158"/>
      <c r="E579" s="158"/>
      <c r="F579" s="34"/>
      <c r="G579" s="35"/>
      <c r="H579" s="36"/>
      <c r="I579" s="37"/>
      <c r="J579" s="37"/>
      <c r="K579" s="38"/>
      <c r="L579" s="38"/>
      <c r="M579" s="38"/>
      <c r="N579" s="36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</row>
    <row r="580" spans="1:28" ht="30" customHeight="1" x14ac:dyDescent="0.35">
      <c r="A580" s="24">
        <f>A576+1</f>
        <v>248</v>
      </c>
      <c r="B580" s="59" t="s">
        <v>83</v>
      </c>
      <c r="C580" s="60" t="s">
        <v>62</v>
      </c>
      <c r="D580" s="61" t="s">
        <v>84</v>
      </c>
      <c r="E580" s="41"/>
      <c r="F580" s="42"/>
    </row>
    <row r="581" spans="1:28" ht="33" customHeight="1" x14ac:dyDescent="0.35">
      <c r="A581" s="24">
        <f>A580+1</f>
        <v>249</v>
      </c>
      <c r="B581" s="25" t="s">
        <v>64</v>
      </c>
      <c r="C581" s="26" t="s">
        <v>19</v>
      </c>
      <c r="D581" s="62">
        <f>0.69*4</f>
        <v>2.76</v>
      </c>
      <c r="E581" s="41"/>
      <c r="F581" s="53"/>
    </row>
    <row r="582" spans="1:28" s="58" customFormat="1" ht="30" hidden="1" customHeight="1" outlineLevel="1" x14ac:dyDescent="0.4">
      <c r="A582" s="54"/>
      <c r="B582" s="48" t="s">
        <v>65</v>
      </c>
      <c r="C582" s="49" t="s">
        <v>19</v>
      </c>
      <c r="D582" s="63">
        <f>0.69*4</f>
        <v>2.76</v>
      </c>
      <c r="E582" s="51"/>
      <c r="F582" s="57"/>
    </row>
    <row r="583" spans="1:28" s="39" customFormat="1" ht="36" customHeight="1" collapsed="1" x14ac:dyDescent="0.35">
      <c r="A583" s="24">
        <f>A581+1</f>
        <v>250</v>
      </c>
      <c r="B583" s="25" t="s">
        <v>66</v>
      </c>
      <c r="C583" s="26" t="s">
        <v>67</v>
      </c>
      <c r="D583" s="40" t="s">
        <v>85</v>
      </c>
      <c r="E583" s="64"/>
      <c r="F583" s="34"/>
      <c r="G583" s="35"/>
      <c r="H583" s="36"/>
      <c r="I583" s="37"/>
      <c r="J583" s="37"/>
      <c r="K583" s="38"/>
      <c r="L583" s="38"/>
      <c r="M583" s="38"/>
      <c r="N583" s="36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</row>
    <row r="584" spans="1:28" s="58" customFormat="1" ht="30" hidden="1" customHeight="1" outlineLevel="1" x14ac:dyDescent="0.4">
      <c r="A584" s="54"/>
      <c r="B584" s="48" t="s">
        <v>86</v>
      </c>
      <c r="C584" s="49" t="s">
        <v>14</v>
      </c>
      <c r="D584" s="65">
        <f>113.2*4/1000</f>
        <v>0.45280000000000004</v>
      </c>
      <c r="E584" s="51"/>
      <c r="F584" s="57"/>
    </row>
    <row r="585" spans="1:28" s="58" customFormat="1" ht="30" hidden="1" customHeight="1" outlineLevel="1" x14ac:dyDescent="0.4">
      <c r="A585" s="54"/>
      <c r="B585" s="48" t="s">
        <v>87</v>
      </c>
      <c r="C585" s="49" t="s">
        <v>14</v>
      </c>
      <c r="D585" s="65">
        <f>(11-0.98)/1000*4</f>
        <v>4.0079999999999998E-2</v>
      </c>
      <c r="E585" s="51"/>
      <c r="F585" s="57"/>
    </row>
    <row r="586" spans="1:28" s="58" customFormat="1" ht="30" hidden="1" customHeight="1" outlineLevel="1" x14ac:dyDescent="0.4">
      <c r="A586" s="54"/>
      <c r="B586" s="48" t="s">
        <v>70</v>
      </c>
      <c r="C586" s="49" t="s">
        <v>14</v>
      </c>
      <c r="D586" s="65">
        <f>(2.01*4)/1000</f>
        <v>8.0399999999999985E-3</v>
      </c>
      <c r="E586" s="51"/>
      <c r="F586" s="57"/>
    </row>
    <row r="587" spans="1:28" s="58" customFormat="1" ht="30" customHeight="1" collapsed="1" x14ac:dyDescent="0.4">
      <c r="A587" s="24">
        <f>A583+1</f>
        <v>251</v>
      </c>
      <c r="B587" s="59" t="s">
        <v>71</v>
      </c>
      <c r="C587" s="26" t="s">
        <v>14</v>
      </c>
      <c r="D587" s="40">
        <v>0.501</v>
      </c>
      <c r="E587" s="66"/>
      <c r="F587" s="57"/>
    </row>
    <row r="588" spans="1:28" ht="36" customHeight="1" x14ac:dyDescent="0.35">
      <c r="A588" s="24">
        <f>A587+1</f>
        <v>252</v>
      </c>
      <c r="B588" s="59" t="s">
        <v>88</v>
      </c>
      <c r="C588" s="26" t="s">
        <v>89</v>
      </c>
      <c r="D588" s="67" t="s">
        <v>90</v>
      </c>
      <c r="E588" s="41"/>
      <c r="F588" s="42"/>
    </row>
    <row r="589" spans="1:28" ht="36" customHeight="1" x14ac:dyDescent="0.35">
      <c r="A589" s="24">
        <f>A588+1</f>
        <v>253</v>
      </c>
      <c r="B589" s="59" t="s">
        <v>72</v>
      </c>
      <c r="C589" s="26" t="s">
        <v>29</v>
      </c>
      <c r="D589" s="67">
        <f>((0.159*3.14*0.4))*4</f>
        <v>0.79881600000000008</v>
      </c>
      <c r="E589" s="41"/>
      <c r="F589" s="42"/>
    </row>
    <row r="590" spans="1:28" s="58" customFormat="1" ht="30" hidden="1" customHeight="1" outlineLevel="1" x14ac:dyDescent="0.4">
      <c r="A590" s="54"/>
      <c r="B590" s="48" t="s">
        <v>73</v>
      </c>
      <c r="C590" s="49" t="s">
        <v>74</v>
      </c>
      <c r="D590" s="68">
        <f>3.31*0.8</f>
        <v>2.6480000000000001</v>
      </c>
      <c r="E590" s="69">
        <v>3.0000000000000001E-3</v>
      </c>
      <c r="F590" s="57"/>
    </row>
    <row r="591" spans="1:28" ht="36" customHeight="1" collapsed="1" x14ac:dyDescent="0.35">
      <c r="A591" s="24">
        <f>A589+1</f>
        <v>254</v>
      </c>
      <c r="B591" s="59" t="s">
        <v>75</v>
      </c>
      <c r="C591" s="26" t="s">
        <v>29</v>
      </c>
      <c r="D591" s="67">
        <f>((0.159*3.14*0.4))*4</f>
        <v>0.79881600000000008</v>
      </c>
      <c r="E591" s="41"/>
      <c r="F591" s="42"/>
    </row>
    <row r="592" spans="1:28" ht="36" customHeight="1" x14ac:dyDescent="0.35">
      <c r="A592" s="24">
        <f>A591+1</f>
        <v>255</v>
      </c>
      <c r="B592" s="59" t="s">
        <v>76</v>
      </c>
      <c r="C592" s="26" t="s">
        <v>29</v>
      </c>
      <c r="D592" s="67">
        <f>((0.159*3.14*0.4))*4</f>
        <v>0.79881600000000008</v>
      </c>
      <c r="E592" s="41"/>
      <c r="F592" s="42"/>
    </row>
    <row r="593" spans="1:28" s="58" customFormat="1" ht="30" customHeight="1" x14ac:dyDescent="0.4">
      <c r="A593" s="24">
        <f>A592+1</f>
        <v>256</v>
      </c>
      <c r="B593" s="59" t="s">
        <v>77</v>
      </c>
      <c r="C593" s="70" t="s">
        <v>29</v>
      </c>
      <c r="D593" s="67">
        <f>((0.159*3.14*0.4))*4</f>
        <v>0.79881600000000008</v>
      </c>
      <c r="E593" s="66"/>
      <c r="F593" s="57"/>
    </row>
    <row r="594" spans="1:28" s="58" customFormat="1" ht="30" hidden="1" customHeight="1" outlineLevel="1" x14ac:dyDescent="0.4">
      <c r="A594" s="54"/>
      <c r="B594" s="48" t="s">
        <v>78</v>
      </c>
      <c r="C594" s="49" t="s">
        <v>74</v>
      </c>
      <c r="D594" s="68">
        <f>0.8*0.255</f>
        <v>0.20400000000000001</v>
      </c>
      <c r="E594" s="69">
        <v>1E-3</v>
      </c>
      <c r="F594" s="57"/>
    </row>
    <row r="595" spans="1:28" s="58" customFormat="1" ht="30" customHeight="1" collapsed="1" x14ac:dyDescent="0.4">
      <c r="A595" s="24">
        <f>A593+1</f>
        <v>257</v>
      </c>
      <c r="B595" s="59" t="s">
        <v>79</v>
      </c>
      <c r="C595" s="70" t="s">
        <v>29</v>
      </c>
      <c r="D595" s="67">
        <f>((0.159*3.14*0.4))*4</f>
        <v>0.79881600000000008</v>
      </c>
      <c r="E595" s="66"/>
      <c r="F595" s="57"/>
    </row>
    <row r="596" spans="1:28" s="58" customFormat="1" ht="30" hidden="1" customHeight="1" outlineLevel="1" x14ac:dyDescent="0.4">
      <c r="A596" s="54"/>
      <c r="B596" s="48" t="s">
        <v>80</v>
      </c>
      <c r="C596" s="49" t="s">
        <v>74</v>
      </c>
      <c r="D596" s="68">
        <f>0.8*0.36*2</f>
        <v>0.57599999999999996</v>
      </c>
      <c r="E596" s="69">
        <v>1E-3</v>
      </c>
      <c r="F596" s="57"/>
    </row>
    <row r="597" spans="1:28" s="39" customFormat="1" ht="30" customHeight="1" collapsed="1" x14ac:dyDescent="0.35">
      <c r="A597" s="153" t="s">
        <v>322</v>
      </c>
      <c r="B597" s="153"/>
      <c r="C597" s="153"/>
      <c r="D597" s="153"/>
      <c r="E597" s="153"/>
      <c r="F597" s="34"/>
      <c r="G597" s="35"/>
      <c r="H597" s="36"/>
      <c r="I597" s="37"/>
      <c r="J597" s="37"/>
      <c r="K597" s="38"/>
      <c r="L597" s="38"/>
      <c r="M597" s="38"/>
      <c r="N597" s="36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</row>
    <row r="598" spans="1:28" s="39" customFormat="1" ht="21" customHeight="1" x14ac:dyDescent="0.35">
      <c r="A598" s="158" t="s">
        <v>379</v>
      </c>
      <c r="B598" s="158"/>
      <c r="C598" s="158"/>
      <c r="D598" s="158"/>
      <c r="E598" s="158"/>
      <c r="F598" s="34"/>
      <c r="G598" s="35"/>
      <c r="H598" s="36"/>
      <c r="I598" s="37"/>
      <c r="J598" s="37"/>
      <c r="K598" s="38"/>
      <c r="L598" s="38"/>
      <c r="M598" s="38"/>
      <c r="N598" s="36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</row>
    <row r="599" spans="1:28" s="58" customFormat="1" ht="30" customHeight="1" x14ac:dyDescent="0.4">
      <c r="A599" s="92">
        <f>A595+1</f>
        <v>258</v>
      </c>
      <c r="B599" s="25" t="s">
        <v>380</v>
      </c>
      <c r="C599" s="89" t="s">
        <v>58</v>
      </c>
      <c r="D599" s="90">
        <v>1</v>
      </c>
      <c r="E599" s="99"/>
      <c r="F599" s="57"/>
    </row>
    <row r="600" spans="1:28" s="58" customFormat="1" ht="269.25" hidden="1" customHeight="1" outlineLevel="1" x14ac:dyDescent="0.4">
      <c r="A600" s="87"/>
      <c r="B600" s="48" t="s">
        <v>381</v>
      </c>
      <c r="C600" s="75" t="s">
        <v>58</v>
      </c>
      <c r="D600" s="100">
        <v>1</v>
      </c>
      <c r="E600" s="101">
        <v>2E-3</v>
      </c>
      <c r="F600" s="57"/>
    </row>
    <row r="601" spans="1:28" s="58" customFormat="1" ht="30" customHeight="1" collapsed="1" x14ac:dyDescent="0.4">
      <c r="A601" s="95">
        <f>A599+1</f>
        <v>259</v>
      </c>
      <c r="B601" s="83" t="s">
        <v>326</v>
      </c>
      <c r="C601" s="84" t="s">
        <v>327</v>
      </c>
      <c r="D601" s="85">
        <v>2</v>
      </c>
      <c r="E601" s="102"/>
      <c r="F601" s="57"/>
    </row>
    <row r="602" spans="1:28" s="58" customFormat="1" ht="30" hidden="1" customHeight="1" outlineLevel="1" x14ac:dyDescent="0.4">
      <c r="A602" s="87"/>
      <c r="B602" s="48" t="s">
        <v>328</v>
      </c>
      <c r="C602" s="75" t="s">
        <v>58</v>
      </c>
      <c r="D602" s="100">
        <v>1</v>
      </c>
      <c r="E602" s="101">
        <v>1E-3</v>
      </c>
      <c r="F602" s="57"/>
    </row>
    <row r="603" spans="1:28" s="58" customFormat="1" ht="30" hidden="1" customHeight="1" outlineLevel="1" x14ac:dyDescent="0.4">
      <c r="A603" s="87"/>
      <c r="B603" s="48" t="s">
        <v>329</v>
      </c>
      <c r="C603" s="75" t="s">
        <v>58</v>
      </c>
      <c r="D603" s="100">
        <v>1</v>
      </c>
      <c r="E603" s="101">
        <v>1E-3</v>
      </c>
      <c r="F603" s="57"/>
    </row>
    <row r="604" spans="1:28" s="58" customFormat="1" ht="30" customHeight="1" collapsed="1" x14ac:dyDescent="0.4">
      <c r="A604" s="92">
        <f>A601+1</f>
        <v>260</v>
      </c>
      <c r="B604" s="25" t="s">
        <v>332</v>
      </c>
      <c r="C604" s="89" t="s">
        <v>58</v>
      </c>
      <c r="D604" s="90">
        <v>1</v>
      </c>
      <c r="E604" s="99"/>
      <c r="F604" s="57"/>
    </row>
    <row r="605" spans="1:28" s="58" customFormat="1" ht="61.75" hidden="1" outlineLevel="1" x14ac:dyDescent="0.4">
      <c r="A605" s="87"/>
      <c r="B605" s="48" t="s">
        <v>333</v>
      </c>
      <c r="C605" s="75" t="s">
        <v>58</v>
      </c>
      <c r="D605" s="100">
        <v>1</v>
      </c>
      <c r="E605" s="101">
        <v>3.0000000000000001E-3</v>
      </c>
      <c r="F605" s="57"/>
    </row>
    <row r="606" spans="1:28" s="58" customFormat="1" ht="30" customHeight="1" collapsed="1" x14ac:dyDescent="0.4">
      <c r="A606" s="95">
        <f>A604+1</f>
        <v>261</v>
      </c>
      <c r="B606" s="83" t="s">
        <v>326</v>
      </c>
      <c r="C606" s="84" t="s">
        <v>327</v>
      </c>
      <c r="D606" s="85">
        <v>2</v>
      </c>
      <c r="E606" s="102"/>
      <c r="F606" s="57"/>
    </row>
    <row r="607" spans="1:28" s="58" customFormat="1" ht="30" hidden="1" customHeight="1" outlineLevel="1" x14ac:dyDescent="0.4">
      <c r="A607" s="87"/>
      <c r="B607" s="48" t="s">
        <v>328</v>
      </c>
      <c r="C607" s="75" t="s">
        <v>58</v>
      </c>
      <c r="D607" s="100">
        <v>1</v>
      </c>
      <c r="E607" s="101">
        <v>1E-3</v>
      </c>
      <c r="F607" s="57"/>
    </row>
    <row r="608" spans="1:28" s="58" customFormat="1" ht="30" hidden="1" customHeight="1" outlineLevel="1" x14ac:dyDescent="0.4">
      <c r="A608" s="87"/>
      <c r="B608" s="48" t="s">
        <v>329</v>
      </c>
      <c r="C608" s="75" t="s">
        <v>58</v>
      </c>
      <c r="D608" s="100">
        <v>1</v>
      </c>
      <c r="E608" s="101">
        <v>1E-3</v>
      </c>
      <c r="F608" s="57"/>
    </row>
    <row r="609" spans="1:6" s="58" customFormat="1" ht="30" customHeight="1" collapsed="1" x14ac:dyDescent="0.4">
      <c r="A609" s="92">
        <f>A606+1</f>
        <v>262</v>
      </c>
      <c r="B609" s="25" t="s">
        <v>261</v>
      </c>
      <c r="C609" s="89" t="s">
        <v>132</v>
      </c>
      <c r="D609" s="90">
        <v>90</v>
      </c>
      <c r="E609" s="91"/>
      <c r="F609" s="57"/>
    </row>
    <row r="610" spans="1:6" s="58" customFormat="1" ht="30" hidden="1" customHeight="1" outlineLevel="1" x14ac:dyDescent="0.4">
      <c r="A610" s="87"/>
      <c r="B610" s="48" t="s">
        <v>338</v>
      </c>
      <c r="C610" s="75" t="s">
        <v>132</v>
      </c>
      <c r="D610" s="74">
        <v>90</v>
      </c>
      <c r="E610" s="88">
        <v>2.8000000000000001E-2</v>
      </c>
      <c r="F610" s="57"/>
    </row>
    <row r="611" spans="1:6" s="58" customFormat="1" ht="30" customHeight="1" collapsed="1" x14ac:dyDescent="0.4">
      <c r="A611" s="95">
        <f>A609+1</f>
        <v>263</v>
      </c>
      <c r="B611" s="25" t="s">
        <v>316</v>
      </c>
      <c r="C611" s="89" t="s">
        <v>132</v>
      </c>
      <c r="D611" s="96">
        <v>10</v>
      </c>
      <c r="E611" s="98"/>
      <c r="F611" s="57"/>
    </row>
    <row r="612" spans="1:6" s="58" customFormat="1" ht="30" hidden="1" customHeight="1" outlineLevel="1" x14ac:dyDescent="0.4">
      <c r="A612" s="87"/>
      <c r="B612" s="48" t="s">
        <v>317</v>
      </c>
      <c r="C612" s="75" t="s">
        <v>132</v>
      </c>
      <c r="D612" s="74">
        <v>10</v>
      </c>
      <c r="E612" s="93"/>
      <c r="F612" s="57"/>
    </row>
    <row r="613" spans="1:6" s="58" customFormat="1" ht="30" customHeight="1" collapsed="1" x14ac:dyDescent="0.4">
      <c r="A613" s="95">
        <f>A611+1</f>
        <v>264</v>
      </c>
      <c r="B613" s="25" t="s">
        <v>340</v>
      </c>
      <c r="C613" s="89" t="s">
        <v>132</v>
      </c>
      <c r="D613" s="90">
        <v>4</v>
      </c>
      <c r="E613" s="99"/>
      <c r="F613" s="57"/>
    </row>
    <row r="614" spans="1:6" s="58" customFormat="1" ht="30" hidden="1" customHeight="1" outlineLevel="1" x14ac:dyDescent="0.4">
      <c r="A614" s="87"/>
      <c r="B614" s="48" t="s">
        <v>341</v>
      </c>
      <c r="C614" s="75" t="s">
        <v>14</v>
      </c>
      <c r="D614" s="74">
        <v>6.0000000000000001E-3</v>
      </c>
      <c r="E614" s="88">
        <v>6.0000000000000001E-3</v>
      </c>
      <c r="F614" s="57"/>
    </row>
    <row r="615" spans="1:6" s="58" customFormat="1" ht="30" customHeight="1" collapsed="1" x14ac:dyDescent="0.4">
      <c r="A615" s="95">
        <f>A613+1</f>
        <v>265</v>
      </c>
      <c r="B615" s="25" t="s">
        <v>284</v>
      </c>
      <c r="C615" s="89" t="s">
        <v>132</v>
      </c>
      <c r="D615" s="90">
        <v>6</v>
      </c>
      <c r="E615" s="91"/>
      <c r="F615" s="57"/>
    </row>
    <row r="616" spans="1:6" s="58" customFormat="1" ht="30" hidden="1" customHeight="1" outlineLevel="1" x14ac:dyDescent="0.4">
      <c r="A616" s="87"/>
      <c r="B616" s="48" t="s">
        <v>342</v>
      </c>
      <c r="C616" s="75" t="s">
        <v>132</v>
      </c>
      <c r="D616" s="74">
        <v>6</v>
      </c>
      <c r="E616" s="88"/>
      <c r="F616" s="57"/>
    </row>
    <row r="617" spans="1:6" s="58" customFormat="1" ht="30" hidden="1" customHeight="1" outlineLevel="1" x14ac:dyDescent="0.4">
      <c r="A617" s="87"/>
      <c r="B617" s="48" t="s">
        <v>343</v>
      </c>
      <c r="C617" s="75" t="s">
        <v>132</v>
      </c>
      <c r="D617" s="74">
        <v>2</v>
      </c>
      <c r="E617" s="88"/>
      <c r="F617" s="57"/>
    </row>
    <row r="618" spans="1:6" s="58" customFormat="1" ht="30" hidden="1" customHeight="1" outlineLevel="1" x14ac:dyDescent="0.4">
      <c r="A618" s="87"/>
      <c r="B618" s="48" t="s">
        <v>344</v>
      </c>
      <c r="C618" s="75" t="s">
        <v>132</v>
      </c>
      <c r="D618" s="74">
        <v>1</v>
      </c>
      <c r="E618" s="88"/>
      <c r="F618" s="57"/>
    </row>
    <row r="619" spans="1:6" s="58" customFormat="1" ht="30" customHeight="1" collapsed="1" x14ac:dyDescent="0.4">
      <c r="A619" s="92">
        <f>A615+1</f>
        <v>266</v>
      </c>
      <c r="B619" s="25" t="s">
        <v>273</v>
      </c>
      <c r="C619" s="89" t="s">
        <v>132</v>
      </c>
      <c r="D619" s="90">
        <v>30</v>
      </c>
      <c r="E619" s="91"/>
      <c r="F619" s="57"/>
    </row>
    <row r="620" spans="1:6" s="58" customFormat="1" ht="30" hidden="1" customHeight="1" outlineLevel="1" x14ac:dyDescent="0.4">
      <c r="A620" s="87"/>
      <c r="B620" s="48" t="s">
        <v>345</v>
      </c>
      <c r="C620" s="75" t="s">
        <v>132</v>
      </c>
      <c r="D620" s="74">
        <v>30</v>
      </c>
      <c r="E620" s="94"/>
      <c r="F620" s="57"/>
    </row>
    <row r="621" spans="1:6" s="58" customFormat="1" ht="30" customHeight="1" collapsed="1" x14ac:dyDescent="0.4">
      <c r="A621" s="95">
        <f>A619+1</f>
        <v>267</v>
      </c>
      <c r="B621" s="71" t="s">
        <v>315</v>
      </c>
      <c r="C621" s="40" t="s">
        <v>132</v>
      </c>
      <c r="D621" s="82">
        <v>4</v>
      </c>
      <c r="E621" s="66"/>
      <c r="F621" s="57"/>
    </row>
    <row r="622" spans="1:6" s="58" customFormat="1" ht="30" hidden="1" customHeight="1" outlineLevel="1" x14ac:dyDescent="0.4">
      <c r="A622" s="87"/>
      <c r="B622" s="48" t="s">
        <v>314</v>
      </c>
      <c r="C622" s="75" t="s">
        <v>14</v>
      </c>
      <c r="D622" s="74">
        <v>5.0000000000000001E-3</v>
      </c>
      <c r="E622" s="88">
        <v>5.0000000000000001E-3</v>
      </c>
      <c r="F622" s="57"/>
    </row>
    <row r="623" spans="1:6" s="58" customFormat="1" ht="30" customHeight="1" collapsed="1" x14ac:dyDescent="0.4">
      <c r="A623" s="95">
        <f>A621+1</f>
        <v>268</v>
      </c>
      <c r="B623" s="83" t="s">
        <v>299</v>
      </c>
      <c r="C623" s="84" t="s">
        <v>58</v>
      </c>
      <c r="D623" s="85">
        <v>2</v>
      </c>
      <c r="E623" s="66"/>
      <c r="F623" s="57"/>
    </row>
    <row r="624" spans="1:6" s="58" customFormat="1" ht="30" customHeight="1" x14ac:dyDescent="0.4">
      <c r="A624" s="24">
        <f>A623+1</f>
        <v>269</v>
      </c>
      <c r="B624" s="83" t="s">
        <v>350</v>
      </c>
      <c r="C624" s="84" t="s">
        <v>58</v>
      </c>
      <c r="D624" s="85">
        <v>8</v>
      </c>
      <c r="E624" s="66"/>
      <c r="F624" s="57"/>
    </row>
    <row r="625" spans="1:28" s="14" customFormat="1" ht="20.25" customHeight="1" x14ac:dyDescent="0.4">
      <c r="A625" s="157" t="s">
        <v>382</v>
      </c>
      <c r="B625" s="157"/>
      <c r="C625" s="157"/>
      <c r="D625" s="157"/>
      <c r="E625" s="157"/>
      <c r="F625" s="21"/>
      <c r="G625" s="2"/>
      <c r="H625" s="13"/>
      <c r="I625" s="2"/>
      <c r="J625" s="2" t="s">
        <v>16</v>
      </c>
      <c r="K625" s="3"/>
      <c r="L625" s="3"/>
      <c r="M625" s="3"/>
      <c r="N625" s="1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s="39" customFormat="1" ht="30" customHeight="1" x14ac:dyDescent="0.35">
      <c r="A626" s="153" t="s">
        <v>383</v>
      </c>
      <c r="B626" s="153"/>
      <c r="C626" s="153"/>
      <c r="D626" s="153"/>
      <c r="E626" s="153"/>
      <c r="F626" s="34"/>
      <c r="G626" s="35"/>
      <c r="H626" s="36"/>
      <c r="I626" s="37"/>
      <c r="J626" s="37"/>
      <c r="K626" s="38"/>
      <c r="L626" s="38"/>
      <c r="M626" s="38"/>
      <c r="N626" s="36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</row>
    <row r="627" spans="1:28" s="39" customFormat="1" ht="21" customHeight="1" x14ac:dyDescent="0.35">
      <c r="A627" s="158" t="s">
        <v>384</v>
      </c>
      <c r="B627" s="158"/>
      <c r="C627" s="158"/>
      <c r="D627" s="158"/>
      <c r="E627" s="158"/>
      <c r="F627" s="34"/>
      <c r="G627" s="35"/>
      <c r="H627" s="36"/>
      <c r="I627" s="37"/>
      <c r="J627" s="37"/>
      <c r="K627" s="38"/>
      <c r="L627" s="38"/>
      <c r="M627" s="38"/>
      <c r="N627" s="36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</row>
    <row r="628" spans="1:28" s="58" customFormat="1" ht="30" customHeight="1" x14ac:dyDescent="0.4">
      <c r="A628" s="92">
        <f>A624+1</f>
        <v>270</v>
      </c>
      <c r="B628" s="83" t="s">
        <v>385</v>
      </c>
      <c r="C628" s="84" t="s">
        <v>55</v>
      </c>
      <c r="D628" s="85" t="s">
        <v>386</v>
      </c>
      <c r="E628" s="66"/>
      <c r="F628" s="57"/>
    </row>
    <row r="629" spans="1:28" s="58" customFormat="1" ht="30" customHeight="1" x14ac:dyDescent="0.4">
      <c r="A629" s="24">
        <f>A628+1</f>
        <v>271</v>
      </c>
      <c r="B629" s="83" t="s">
        <v>387</v>
      </c>
      <c r="C629" s="84" t="s">
        <v>19</v>
      </c>
      <c r="D629" s="85">
        <f>11*12*0.2</f>
        <v>26.400000000000002</v>
      </c>
      <c r="E629" s="66"/>
      <c r="F629" s="57"/>
    </row>
    <row r="630" spans="1:28" s="58" customFormat="1" ht="30" customHeight="1" x14ac:dyDescent="0.4">
      <c r="A630" s="24">
        <f>A629+1</f>
        <v>272</v>
      </c>
      <c r="B630" s="83" t="s">
        <v>388</v>
      </c>
      <c r="C630" s="84" t="s">
        <v>29</v>
      </c>
      <c r="D630" s="85">
        <f>11*12</f>
        <v>132</v>
      </c>
      <c r="E630" s="66"/>
      <c r="F630" s="57"/>
    </row>
    <row r="631" spans="1:28" s="58" customFormat="1" ht="30" customHeight="1" x14ac:dyDescent="0.4">
      <c r="A631" s="24">
        <f>A630+1</f>
        <v>273</v>
      </c>
      <c r="B631" s="83" t="s">
        <v>136</v>
      </c>
      <c r="C631" s="84" t="s">
        <v>19</v>
      </c>
      <c r="D631" s="85">
        <v>9.2899999999999991</v>
      </c>
      <c r="E631" s="66"/>
      <c r="F631" s="57"/>
    </row>
    <row r="632" spans="1:28" s="58" customFormat="1" ht="30" hidden="1" customHeight="1" outlineLevel="1" x14ac:dyDescent="0.4">
      <c r="A632" s="87"/>
      <c r="B632" s="48" t="s">
        <v>134</v>
      </c>
      <c r="C632" s="75" t="s">
        <v>19</v>
      </c>
      <c r="D632" s="63">
        <f>9.29</f>
        <v>9.2899999999999991</v>
      </c>
      <c r="E632" s="88"/>
      <c r="F632" s="57"/>
    </row>
    <row r="633" spans="1:28" s="58" customFormat="1" ht="30" customHeight="1" collapsed="1" x14ac:dyDescent="0.4">
      <c r="A633" s="95">
        <f>A631+1</f>
        <v>274</v>
      </c>
      <c r="B633" s="83" t="s">
        <v>389</v>
      </c>
      <c r="C633" s="84" t="s">
        <v>19</v>
      </c>
      <c r="D633" s="85">
        <v>25.64</v>
      </c>
      <c r="E633" s="66"/>
      <c r="F633" s="57"/>
    </row>
    <row r="634" spans="1:28" s="58" customFormat="1" ht="30" hidden="1" customHeight="1" outlineLevel="1" x14ac:dyDescent="0.4">
      <c r="A634" s="54"/>
      <c r="B634" s="48" t="s">
        <v>390</v>
      </c>
      <c r="C634" s="49" t="s">
        <v>14</v>
      </c>
      <c r="D634" s="68">
        <f>((186*4.31)+(54*16.47))/1000</f>
        <v>1.6910399999999999</v>
      </c>
      <c r="E634" s="56">
        <f>((186*4.31)+(54*16.47))/1000</f>
        <v>1.6910399999999999</v>
      </c>
      <c r="F634" s="57"/>
    </row>
    <row r="635" spans="1:28" s="58" customFormat="1" ht="30" hidden="1" customHeight="1" outlineLevel="1" x14ac:dyDescent="0.4">
      <c r="A635" s="54"/>
      <c r="B635" s="48" t="s">
        <v>391</v>
      </c>
      <c r="C635" s="49" t="s">
        <v>14</v>
      </c>
      <c r="D635" s="81">
        <f>((232*0.65)+(232*0.41)+(130*0.41))/1000</f>
        <v>0.29922000000000004</v>
      </c>
      <c r="E635" s="103">
        <f>((232*0.65)+(232*0.41)+(130*0.41))/1000</f>
        <v>0.29922000000000004</v>
      </c>
      <c r="F635" s="57"/>
    </row>
    <row r="636" spans="1:28" s="58" customFormat="1" ht="30" hidden="1" customHeight="1" outlineLevel="1" x14ac:dyDescent="0.4">
      <c r="A636" s="87"/>
      <c r="B636" s="48" t="s">
        <v>65</v>
      </c>
      <c r="C636" s="75" t="s">
        <v>19</v>
      </c>
      <c r="D636" s="63">
        <f>25.64</f>
        <v>25.64</v>
      </c>
      <c r="E636" s="88"/>
      <c r="F636" s="57"/>
    </row>
    <row r="637" spans="1:28" s="58" customFormat="1" ht="30" customHeight="1" collapsed="1" x14ac:dyDescent="0.4">
      <c r="A637" s="92">
        <f>A633+1</f>
        <v>275</v>
      </c>
      <c r="B637" s="83" t="s">
        <v>392</v>
      </c>
      <c r="C637" s="84" t="s">
        <v>19</v>
      </c>
      <c r="D637" s="85">
        <v>3.27</v>
      </c>
      <c r="E637" s="66"/>
      <c r="F637" s="57"/>
    </row>
    <row r="638" spans="1:28" s="58" customFormat="1" ht="30" hidden="1" customHeight="1" outlineLevel="1" x14ac:dyDescent="0.4">
      <c r="A638" s="87"/>
      <c r="B638" s="48" t="s">
        <v>65</v>
      </c>
      <c r="C638" s="75" t="s">
        <v>19</v>
      </c>
      <c r="D638" s="63">
        <f>3.27</f>
        <v>3.27</v>
      </c>
      <c r="E638" s="88"/>
      <c r="F638" s="57"/>
    </row>
    <row r="639" spans="1:28" s="58" customFormat="1" ht="30" customHeight="1" collapsed="1" x14ac:dyDescent="0.4">
      <c r="A639" s="95">
        <f>A637+1</f>
        <v>276</v>
      </c>
      <c r="B639" s="83" t="s">
        <v>393</v>
      </c>
      <c r="C639" s="84" t="s">
        <v>19</v>
      </c>
      <c r="D639" s="104">
        <f>9.35*4.2*0.25</f>
        <v>9.8175000000000008</v>
      </c>
      <c r="E639" s="66"/>
      <c r="F639" s="57"/>
    </row>
    <row r="640" spans="1:28" s="58" customFormat="1" ht="30" customHeight="1" x14ac:dyDescent="0.4">
      <c r="A640" s="24">
        <f>A639+1</f>
        <v>277</v>
      </c>
      <c r="B640" s="83" t="s">
        <v>51</v>
      </c>
      <c r="C640" s="84" t="s">
        <v>19</v>
      </c>
      <c r="D640" s="85">
        <v>13.01</v>
      </c>
      <c r="E640" s="66"/>
      <c r="F640" s="57"/>
    </row>
    <row r="641" spans="1:28" s="58" customFormat="1" ht="30" hidden="1" customHeight="1" outlineLevel="1" x14ac:dyDescent="0.4">
      <c r="A641" s="54"/>
      <c r="B641" s="48" t="s">
        <v>52</v>
      </c>
      <c r="C641" s="49" t="s">
        <v>19</v>
      </c>
      <c r="D641" s="81">
        <f>13.01</f>
        <v>13.01</v>
      </c>
      <c r="E641" s="69"/>
      <c r="F641" s="57"/>
    </row>
    <row r="642" spans="1:28" s="58" customFormat="1" ht="30" customHeight="1" collapsed="1" x14ac:dyDescent="0.4">
      <c r="A642" s="95">
        <f>A640+1</f>
        <v>278</v>
      </c>
      <c r="B642" s="83" t="s">
        <v>394</v>
      </c>
      <c r="C642" s="84" t="s">
        <v>19</v>
      </c>
      <c r="D642" s="85">
        <v>1.42</v>
      </c>
      <c r="E642" s="66"/>
      <c r="F642" s="57"/>
    </row>
    <row r="643" spans="1:28" s="58" customFormat="1" ht="30" hidden="1" customHeight="1" outlineLevel="1" x14ac:dyDescent="0.4">
      <c r="A643" s="54"/>
      <c r="B643" s="48" t="s">
        <v>37</v>
      </c>
      <c r="C643" s="49" t="s">
        <v>19</v>
      </c>
      <c r="D643" s="81">
        <f>1.42</f>
        <v>1.42</v>
      </c>
      <c r="E643" s="69"/>
      <c r="F643" s="57"/>
    </row>
    <row r="644" spans="1:28" s="58" customFormat="1" ht="30" customHeight="1" collapsed="1" x14ac:dyDescent="0.4">
      <c r="A644" s="95">
        <f>A642+1</f>
        <v>279</v>
      </c>
      <c r="B644" s="83" t="s">
        <v>395</v>
      </c>
      <c r="C644" s="84" t="s">
        <v>396</v>
      </c>
      <c r="D644" s="85" t="s">
        <v>397</v>
      </c>
      <c r="E644" s="66"/>
      <c r="F644" s="57"/>
    </row>
    <row r="645" spans="1:28" s="58" customFormat="1" ht="30" hidden="1" customHeight="1" outlineLevel="1" x14ac:dyDescent="0.4">
      <c r="A645" s="54"/>
      <c r="B645" s="48" t="s">
        <v>398</v>
      </c>
      <c r="C645" s="75" t="s">
        <v>58</v>
      </c>
      <c r="D645" s="74">
        <v>5</v>
      </c>
      <c r="E645" s="69">
        <v>11</v>
      </c>
      <c r="F645" s="57"/>
    </row>
    <row r="646" spans="1:28" s="39" customFormat="1" ht="21" customHeight="1" collapsed="1" x14ac:dyDescent="0.35">
      <c r="A646" s="158" t="s">
        <v>399</v>
      </c>
      <c r="B646" s="158"/>
      <c r="C646" s="158"/>
      <c r="D646" s="158"/>
      <c r="E646" s="158"/>
      <c r="F646" s="34"/>
      <c r="G646" s="35"/>
      <c r="H646" s="36"/>
      <c r="I646" s="37"/>
      <c r="J646" s="37"/>
      <c r="K646" s="38"/>
      <c r="L646" s="38"/>
      <c r="M646" s="38"/>
      <c r="N646" s="36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</row>
    <row r="647" spans="1:28" s="58" customFormat="1" ht="30" customHeight="1" x14ac:dyDescent="0.4">
      <c r="A647" s="95">
        <f>A644+1</f>
        <v>280</v>
      </c>
      <c r="B647" s="83" t="s">
        <v>400</v>
      </c>
      <c r="C647" s="84" t="s">
        <v>58</v>
      </c>
      <c r="D647" s="85">
        <v>1</v>
      </c>
      <c r="E647" s="66"/>
      <c r="F647" s="57"/>
    </row>
    <row r="648" spans="1:28" s="58" customFormat="1" ht="30" hidden="1" customHeight="1" outlineLevel="1" x14ac:dyDescent="0.4">
      <c r="A648" s="54"/>
      <c r="B648" s="48" t="s">
        <v>401</v>
      </c>
      <c r="C648" s="75" t="s">
        <v>58</v>
      </c>
      <c r="D648" s="74">
        <v>1</v>
      </c>
      <c r="E648" s="69"/>
      <c r="F648" s="57"/>
    </row>
    <row r="649" spans="1:28" s="39" customFormat="1" ht="21" customHeight="1" collapsed="1" x14ac:dyDescent="0.35">
      <c r="A649" s="158" t="s">
        <v>402</v>
      </c>
      <c r="B649" s="158"/>
      <c r="C649" s="158"/>
      <c r="D649" s="158"/>
      <c r="E649" s="158"/>
      <c r="F649" s="34"/>
      <c r="G649" s="35"/>
      <c r="H649" s="36"/>
      <c r="I649" s="37"/>
      <c r="J649" s="37"/>
      <c r="K649" s="38"/>
      <c r="L649" s="38"/>
      <c r="M649" s="38"/>
      <c r="N649" s="36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</row>
    <row r="650" spans="1:28" s="58" customFormat="1" ht="30" customHeight="1" x14ac:dyDescent="0.4">
      <c r="A650" s="24">
        <f>A647+1</f>
        <v>281</v>
      </c>
      <c r="B650" s="25" t="s">
        <v>308</v>
      </c>
      <c r="C650" s="89" t="s">
        <v>19</v>
      </c>
      <c r="D650" s="90">
        <f>0.7*0.5*64</f>
        <v>22.4</v>
      </c>
      <c r="E650" s="91"/>
      <c r="F650" s="57"/>
    </row>
    <row r="651" spans="1:28" s="58" customFormat="1" ht="30" customHeight="1" x14ac:dyDescent="0.4">
      <c r="A651" s="24">
        <f>A650+1</f>
        <v>282</v>
      </c>
      <c r="B651" s="25" t="s">
        <v>309</v>
      </c>
      <c r="C651" s="89" t="s">
        <v>19</v>
      </c>
      <c r="D651" s="90">
        <f>0.7*0.5*64</f>
        <v>22.4</v>
      </c>
      <c r="E651" s="91"/>
      <c r="F651" s="57"/>
    </row>
    <row r="652" spans="1:28" s="58" customFormat="1" ht="30" customHeight="1" x14ac:dyDescent="0.4">
      <c r="A652" s="24">
        <f>A651+1</f>
        <v>283</v>
      </c>
      <c r="B652" s="25" t="s">
        <v>310</v>
      </c>
      <c r="C652" s="89" t="s">
        <v>19</v>
      </c>
      <c r="D652" s="90">
        <f>0.7*0.5*64</f>
        <v>22.4</v>
      </c>
      <c r="E652" s="91"/>
      <c r="F652" s="57"/>
    </row>
    <row r="653" spans="1:28" s="58" customFormat="1" ht="30" customHeight="1" x14ac:dyDescent="0.4">
      <c r="A653" s="95">
        <f>A652+1</f>
        <v>284</v>
      </c>
      <c r="B653" s="59" t="s">
        <v>403</v>
      </c>
      <c r="C653" s="70" t="s">
        <v>132</v>
      </c>
      <c r="D653" s="40">
        <v>64</v>
      </c>
      <c r="E653" s="66"/>
      <c r="F653" s="57"/>
    </row>
    <row r="654" spans="1:28" s="58" customFormat="1" ht="30" hidden="1" customHeight="1" outlineLevel="1" x14ac:dyDescent="0.4">
      <c r="A654" s="54"/>
      <c r="B654" s="48" t="s">
        <v>404</v>
      </c>
      <c r="C654" s="49" t="s">
        <v>14</v>
      </c>
      <c r="D654" s="65">
        <f>64*1.26/1000</f>
        <v>8.0640000000000003E-2</v>
      </c>
      <c r="E654" s="51">
        <v>8.1000000000000003E-2</v>
      </c>
      <c r="F654" s="57"/>
    </row>
    <row r="655" spans="1:28" ht="36" customHeight="1" collapsed="1" x14ac:dyDescent="0.35">
      <c r="A655" s="95">
        <f>A653+1</f>
        <v>285</v>
      </c>
      <c r="B655" s="59" t="s">
        <v>405</v>
      </c>
      <c r="C655" s="26" t="s">
        <v>58</v>
      </c>
      <c r="D655" s="82">
        <v>4</v>
      </c>
      <c r="E655" s="41"/>
      <c r="F655" s="42"/>
    </row>
    <row r="656" spans="1:28" s="58" customFormat="1" ht="30" hidden="1" customHeight="1" outlineLevel="1" x14ac:dyDescent="0.4">
      <c r="A656" s="54"/>
      <c r="B656" s="48" t="s">
        <v>406</v>
      </c>
      <c r="C656" s="49" t="s">
        <v>14</v>
      </c>
      <c r="D656" s="65">
        <f>20*1.58/1000</f>
        <v>3.1600000000000003E-2</v>
      </c>
      <c r="E656" s="51">
        <v>3.2000000000000001E-2</v>
      </c>
      <c r="F656" s="57"/>
    </row>
    <row r="657" spans="1:28" s="58" customFormat="1" ht="30" customHeight="1" collapsed="1" x14ac:dyDescent="0.4">
      <c r="A657" s="95">
        <f>A655+1</f>
        <v>286</v>
      </c>
      <c r="B657" s="71" t="s">
        <v>315</v>
      </c>
      <c r="C657" s="40" t="s">
        <v>132</v>
      </c>
      <c r="D657" s="82">
        <v>36</v>
      </c>
      <c r="E657" s="66"/>
      <c r="F657" s="57"/>
    </row>
    <row r="658" spans="1:28" s="58" customFormat="1" ht="30" hidden="1" customHeight="1" outlineLevel="1" x14ac:dyDescent="0.4">
      <c r="A658" s="87"/>
      <c r="B658" s="48" t="s">
        <v>314</v>
      </c>
      <c r="C658" s="75" t="s">
        <v>14</v>
      </c>
      <c r="D658" s="65">
        <f>36*1.26/1000</f>
        <v>4.5359999999999998E-2</v>
      </c>
      <c r="E658" s="88">
        <v>4.4999999999999998E-2</v>
      </c>
      <c r="F658" s="57"/>
    </row>
    <row r="659" spans="1:28" ht="36" customHeight="1" collapsed="1" x14ac:dyDescent="0.35">
      <c r="A659" s="95">
        <f>A657+1</f>
        <v>287</v>
      </c>
      <c r="B659" s="59" t="s">
        <v>316</v>
      </c>
      <c r="C659" s="26" t="s">
        <v>132</v>
      </c>
      <c r="D659" s="82">
        <v>10</v>
      </c>
      <c r="E659" s="41"/>
      <c r="F659" s="42"/>
    </row>
    <row r="660" spans="1:28" s="58" customFormat="1" ht="30" hidden="1" customHeight="1" outlineLevel="1" x14ac:dyDescent="0.4">
      <c r="A660" s="54"/>
      <c r="B660" s="48" t="s">
        <v>407</v>
      </c>
      <c r="C660" s="49" t="s">
        <v>132</v>
      </c>
      <c r="D660" s="55">
        <v>10</v>
      </c>
      <c r="E660" s="51"/>
      <c r="F660" s="57"/>
    </row>
    <row r="661" spans="1:28" s="58" customFormat="1" ht="30" hidden="1" customHeight="1" outlineLevel="1" x14ac:dyDescent="0.4">
      <c r="A661" s="54"/>
      <c r="B661" s="48" t="s">
        <v>408</v>
      </c>
      <c r="C661" s="49" t="s">
        <v>58</v>
      </c>
      <c r="D661" s="55">
        <v>20</v>
      </c>
      <c r="E661" s="51"/>
      <c r="F661" s="57"/>
    </row>
    <row r="662" spans="1:28" s="58" customFormat="1" ht="30" hidden="1" customHeight="1" outlineLevel="1" x14ac:dyDescent="0.4">
      <c r="A662" s="54"/>
      <c r="B662" s="48" t="s">
        <v>409</v>
      </c>
      <c r="C662" s="49" t="s">
        <v>58</v>
      </c>
      <c r="D662" s="55">
        <v>20</v>
      </c>
      <c r="E662" s="51"/>
      <c r="F662" s="57"/>
    </row>
    <row r="663" spans="1:28" s="58" customFormat="1" ht="30" hidden="1" customHeight="1" outlineLevel="1" x14ac:dyDescent="0.4">
      <c r="A663" s="54"/>
      <c r="B663" s="48" t="s">
        <v>410</v>
      </c>
      <c r="C663" s="49" t="s">
        <v>58</v>
      </c>
      <c r="D663" s="55">
        <v>20</v>
      </c>
      <c r="E663" s="51"/>
      <c r="F663" s="57"/>
    </row>
    <row r="664" spans="1:28" s="58" customFormat="1" ht="30" hidden="1" customHeight="1" outlineLevel="1" x14ac:dyDescent="0.4">
      <c r="A664" s="54"/>
      <c r="B664" s="48" t="s">
        <v>411</v>
      </c>
      <c r="C664" s="49" t="s">
        <v>58</v>
      </c>
      <c r="D664" s="55">
        <v>40</v>
      </c>
      <c r="E664" s="51"/>
      <c r="F664" s="57"/>
    </row>
    <row r="665" spans="1:28" s="39" customFormat="1" ht="30" customHeight="1" collapsed="1" x14ac:dyDescent="0.35">
      <c r="A665" s="153" t="s">
        <v>412</v>
      </c>
      <c r="B665" s="153"/>
      <c r="C665" s="153"/>
      <c r="D665" s="153"/>
      <c r="E665" s="153"/>
      <c r="F665" s="34"/>
      <c r="G665" s="35"/>
      <c r="H665" s="36"/>
      <c r="I665" s="37"/>
      <c r="J665" s="37"/>
      <c r="K665" s="38"/>
      <c r="L665" s="38"/>
      <c r="M665" s="38"/>
      <c r="N665" s="36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</row>
    <row r="666" spans="1:28" s="39" customFormat="1" ht="21" customHeight="1" x14ac:dyDescent="0.35">
      <c r="A666" s="158" t="s">
        <v>399</v>
      </c>
      <c r="B666" s="158"/>
      <c r="C666" s="158"/>
      <c r="D666" s="158"/>
      <c r="E666" s="158"/>
      <c r="F666" s="34"/>
      <c r="G666" s="35"/>
      <c r="H666" s="36"/>
      <c r="I666" s="37"/>
      <c r="J666" s="37"/>
      <c r="K666" s="38"/>
      <c r="L666" s="38"/>
      <c r="M666" s="38"/>
      <c r="N666" s="36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</row>
    <row r="667" spans="1:28" s="58" customFormat="1" ht="30" customHeight="1" x14ac:dyDescent="0.4">
      <c r="A667" s="95">
        <f>A659+1</f>
        <v>288</v>
      </c>
      <c r="B667" s="59" t="s">
        <v>413</v>
      </c>
      <c r="C667" s="70" t="s">
        <v>58</v>
      </c>
      <c r="D667" s="40">
        <v>1</v>
      </c>
      <c r="E667" s="66"/>
      <c r="F667" s="57"/>
    </row>
    <row r="668" spans="1:28" s="58" customFormat="1" ht="30.9" hidden="1" outlineLevel="1" x14ac:dyDescent="0.4">
      <c r="A668" s="54"/>
      <c r="B668" s="48" t="s">
        <v>414</v>
      </c>
      <c r="C668" s="49" t="s">
        <v>58</v>
      </c>
      <c r="D668" s="55">
        <v>1</v>
      </c>
      <c r="E668" s="51">
        <v>0.19</v>
      </c>
      <c r="F668" s="57"/>
    </row>
    <row r="669" spans="1:28" s="58" customFormat="1" ht="30" customHeight="1" collapsed="1" x14ac:dyDescent="0.4">
      <c r="A669" s="24">
        <f>A667+1</f>
        <v>289</v>
      </c>
      <c r="B669" s="59" t="s">
        <v>415</v>
      </c>
      <c r="C669" s="70" t="s">
        <v>58</v>
      </c>
      <c r="D669" s="40">
        <v>1</v>
      </c>
      <c r="E669" s="66"/>
      <c r="F669" s="57"/>
    </row>
    <row r="670" spans="1:28" s="58" customFormat="1" ht="30.9" hidden="1" outlineLevel="1" x14ac:dyDescent="0.4">
      <c r="A670" s="54"/>
      <c r="B670" s="48" t="s">
        <v>416</v>
      </c>
      <c r="C670" s="49" t="s">
        <v>58</v>
      </c>
      <c r="D670" s="55">
        <v>1</v>
      </c>
      <c r="E670" s="51">
        <v>0.29199999999999998</v>
      </c>
      <c r="F670" s="57"/>
    </row>
    <row r="671" spans="1:28" s="58" customFormat="1" ht="30.9" collapsed="1" x14ac:dyDescent="0.4">
      <c r="A671" s="24">
        <f>A669+1</f>
        <v>290</v>
      </c>
      <c r="B671" s="59" t="s">
        <v>150</v>
      </c>
      <c r="C671" s="70" t="s">
        <v>132</v>
      </c>
      <c r="D671" s="40">
        <v>17</v>
      </c>
      <c r="E671" s="79" t="s">
        <v>151</v>
      </c>
      <c r="F671" s="57"/>
    </row>
    <row r="672" spans="1:28" s="58" customFormat="1" ht="30" hidden="1" customHeight="1" outlineLevel="1" x14ac:dyDescent="0.4">
      <c r="A672" s="54"/>
      <c r="B672" s="48" t="s">
        <v>152</v>
      </c>
      <c r="C672" s="49" t="s">
        <v>14</v>
      </c>
      <c r="D672" s="65">
        <f>17*12.28/1000</f>
        <v>0.20876</v>
      </c>
      <c r="E672" s="51"/>
      <c r="F672" s="57"/>
    </row>
    <row r="673" spans="1:203" s="58" customFormat="1" ht="30" hidden="1" customHeight="1" outlineLevel="1" x14ac:dyDescent="0.4">
      <c r="A673" s="54"/>
      <c r="B673" s="48" t="s">
        <v>153</v>
      </c>
      <c r="C673" s="49" t="s">
        <v>58</v>
      </c>
      <c r="D673" s="55">
        <v>10</v>
      </c>
      <c r="E673" s="51">
        <v>2.3E-2</v>
      </c>
      <c r="F673" s="57"/>
    </row>
    <row r="674" spans="1:203" s="58" customFormat="1" ht="30.9" collapsed="1" x14ac:dyDescent="0.4">
      <c r="A674" s="72">
        <f>A671+1</f>
        <v>291</v>
      </c>
      <c r="B674" s="59" t="s">
        <v>417</v>
      </c>
      <c r="C674" s="70" t="s">
        <v>132</v>
      </c>
      <c r="D674" s="40">
        <v>17.7</v>
      </c>
      <c r="E674" s="79" t="s">
        <v>151</v>
      </c>
      <c r="F674" s="57"/>
    </row>
    <row r="675" spans="1:203" s="58" customFormat="1" ht="30" hidden="1" customHeight="1" outlineLevel="1" x14ac:dyDescent="0.4">
      <c r="A675" s="54"/>
      <c r="B675" s="48" t="s">
        <v>418</v>
      </c>
      <c r="C675" s="49" t="s">
        <v>14</v>
      </c>
      <c r="D675" s="65">
        <f>17.7*15.09*1.1/1000</f>
        <v>0.29380230000000002</v>
      </c>
      <c r="E675" s="51"/>
      <c r="F675" s="57"/>
    </row>
    <row r="676" spans="1:203" s="58" customFormat="1" ht="30" hidden="1" customHeight="1" outlineLevel="1" x14ac:dyDescent="0.4">
      <c r="A676" s="54"/>
      <c r="B676" s="48" t="s">
        <v>419</v>
      </c>
      <c r="C676" s="49" t="s">
        <v>58</v>
      </c>
      <c r="D676" s="55">
        <v>3</v>
      </c>
      <c r="E676" s="51">
        <v>1.0999999999999999E-2</v>
      </c>
      <c r="F676" s="57"/>
    </row>
    <row r="677" spans="1:203" s="58" customFormat="1" ht="30.9" collapsed="1" x14ac:dyDescent="0.4">
      <c r="A677" s="72">
        <f>A674+1</f>
        <v>292</v>
      </c>
      <c r="B677" s="59" t="s">
        <v>420</v>
      </c>
      <c r="C677" s="70" t="s">
        <v>132</v>
      </c>
      <c r="D677" s="40">
        <v>19</v>
      </c>
      <c r="E677" s="79" t="s">
        <v>151</v>
      </c>
      <c r="F677" s="57"/>
    </row>
    <row r="678" spans="1:203" s="58" customFormat="1" ht="30" hidden="1" customHeight="1" outlineLevel="1" x14ac:dyDescent="0.4">
      <c r="A678" s="54"/>
      <c r="B678" s="48" t="s">
        <v>421</v>
      </c>
      <c r="C678" s="49" t="s">
        <v>14</v>
      </c>
      <c r="D678" s="65">
        <f>19*41.63*1.1/1000</f>
        <v>0.87006700000000015</v>
      </c>
      <c r="E678" s="51"/>
      <c r="F678" s="57"/>
    </row>
    <row r="679" spans="1:203" s="58" customFormat="1" ht="30" hidden="1" customHeight="1" outlineLevel="1" x14ac:dyDescent="0.4">
      <c r="A679" s="54"/>
      <c r="B679" s="48" t="s">
        <v>422</v>
      </c>
      <c r="C679" s="49" t="s">
        <v>58</v>
      </c>
      <c r="D679" s="55">
        <v>2</v>
      </c>
      <c r="E679" s="51">
        <v>0.04</v>
      </c>
      <c r="F679" s="57"/>
    </row>
    <row r="680" spans="1:203" s="58" customFormat="1" ht="30" hidden="1" customHeight="1" outlineLevel="1" x14ac:dyDescent="0.4">
      <c r="A680" s="54"/>
      <c r="B680" s="48" t="s">
        <v>423</v>
      </c>
      <c r="C680" s="49" t="s">
        <v>58</v>
      </c>
      <c r="D680" s="55">
        <v>1</v>
      </c>
      <c r="E680" s="51">
        <v>1.4E-2</v>
      </c>
      <c r="F680" s="57"/>
    </row>
    <row r="681" spans="1:203" s="58" customFormat="1" ht="30" hidden="1" customHeight="1" outlineLevel="1" x14ac:dyDescent="0.4">
      <c r="A681" s="54"/>
      <c r="B681" s="48" t="s">
        <v>424</v>
      </c>
      <c r="C681" s="49" t="s">
        <v>58</v>
      </c>
      <c r="D681" s="55">
        <v>1</v>
      </c>
      <c r="E681" s="51">
        <v>5.0000000000000001E-3</v>
      </c>
      <c r="F681" s="57"/>
    </row>
    <row r="682" spans="1:203" s="58" customFormat="1" ht="30" customHeight="1" collapsed="1" x14ac:dyDescent="0.4">
      <c r="A682" s="72">
        <f>A677+1</f>
        <v>293</v>
      </c>
      <c r="B682" s="59" t="s">
        <v>158</v>
      </c>
      <c r="C682" s="70" t="s">
        <v>67</v>
      </c>
      <c r="D682" s="40" t="s">
        <v>425</v>
      </c>
      <c r="E682" s="66"/>
      <c r="F682" s="57"/>
    </row>
    <row r="683" spans="1:203" s="58" customFormat="1" ht="30" hidden="1" customHeight="1" outlineLevel="1" x14ac:dyDescent="0.4">
      <c r="A683" s="54"/>
      <c r="B683" s="48" t="s">
        <v>426</v>
      </c>
      <c r="C683" s="49" t="s">
        <v>58</v>
      </c>
      <c r="D683" s="55">
        <v>2</v>
      </c>
      <c r="E683" s="51">
        <v>4.0000000000000001E-3</v>
      </c>
      <c r="F683" s="57"/>
    </row>
    <row r="684" spans="1:203" s="58" customFormat="1" ht="30" hidden="1" customHeight="1" outlineLevel="1" x14ac:dyDescent="0.4">
      <c r="A684" s="54"/>
      <c r="B684" s="48" t="s">
        <v>427</v>
      </c>
      <c r="C684" s="49" t="s">
        <v>58</v>
      </c>
      <c r="D684" s="55">
        <v>4</v>
      </c>
      <c r="E684" s="51">
        <v>2.1999999999999999E-2</v>
      </c>
      <c r="F684" s="57"/>
    </row>
    <row r="685" spans="1:203" s="58" customFormat="1" ht="30" hidden="1" customHeight="1" outlineLevel="1" x14ac:dyDescent="0.4">
      <c r="A685" s="54"/>
      <c r="B685" s="48" t="s">
        <v>428</v>
      </c>
      <c r="C685" s="49" t="s">
        <v>58</v>
      </c>
      <c r="D685" s="55">
        <v>4</v>
      </c>
      <c r="E685" s="51">
        <v>5.3999999999999999E-2</v>
      </c>
      <c r="F685" s="57"/>
    </row>
    <row r="686" spans="1:203" s="43" customFormat="1" ht="36" customHeight="1" collapsed="1" x14ac:dyDescent="0.35">
      <c r="A686" s="72">
        <f>A682+1</f>
        <v>294</v>
      </c>
      <c r="B686" s="59" t="s">
        <v>72</v>
      </c>
      <c r="C686" s="26" t="s">
        <v>29</v>
      </c>
      <c r="D686" s="67">
        <f>((0.089*3.14*17)+(0.108*3.14*17.7)+(0.219*3.14*9))</f>
        <v>16.942184000000001</v>
      </c>
      <c r="E686" s="41"/>
      <c r="F686" s="42"/>
      <c r="H686" s="44"/>
      <c r="K686" s="45"/>
      <c r="L686" s="45"/>
      <c r="M686" s="45"/>
      <c r="N686" s="44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6"/>
      <c r="EL686" s="46"/>
      <c r="EM686" s="46"/>
      <c r="EN686" s="46"/>
      <c r="EO686" s="46"/>
      <c r="EP686" s="46"/>
      <c r="EQ686" s="46"/>
      <c r="ER686" s="46"/>
      <c r="ES686" s="46"/>
      <c r="ET686" s="46"/>
      <c r="EU686" s="46"/>
      <c r="EV686" s="46"/>
      <c r="EW686" s="46"/>
      <c r="EX686" s="46"/>
      <c r="EY686" s="46"/>
      <c r="EZ686" s="46"/>
      <c r="FA686" s="46"/>
      <c r="FB686" s="46"/>
      <c r="FC686" s="46"/>
      <c r="FD686" s="46"/>
      <c r="FE686" s="46"/>
      <c r="FF686" s="46"/>
      <c r="FG686" s="46"/>
      <c r="FH686" s="46"/>
      <c r="FI686" s="46"/>
      <c r="FJ686" s="46"/>
      <c r="FK686" s="46"/>
      <c r="FL686" s="46"/>
      <c r="FM686" s="46"/>
      <c r="FN686" s="46"/>
      <c r="FO686" s="46"/>
      <c r="FP686" s="46"/>
      <c r="FQ686" s="46"/>
      <c r="FR686" s="46"/>
      <c r="FS686" s="46"/>
      <c r="FT686" s="46"/>
      <c r="FU686" s="46"/>
      <c r="FV686" s="46"/>
      <c r="FW686" s="46"/>
      <c r="FX686" s="46"/>
      <c r="FY686" s="46"/>
      <c r="FZ686" s="46"/>
      <c r="GA686" s="46"/>
      <c r="GB686" s="46"/>
      <c r="GC686" s="46"/>
      <c r="GD686" s="46"/>
      <c r="GE686" s="46"/>
      <c r="GF686" s="46"/>
      <c r="GG686" s="46"/>
      <c r="GH686" s="46"/>
      <c r="GI686" s="46"/>
      <c r="GJ686" s="46"/>
      <c r="GK686" s="46"/>
      <c r="GL686" s="46"/>
      <c r="GM686" s="46"/>
      <c r="GN686" s="46"/>
      <c r="GO686" s="46"/>
      <c r="GP686" s="46"/>
      <c r="GQ686" s="46"/>
      <c r="GR686" s="46"/>
      <c r="GS686" s="46"/>
      <c r="GT686" s="46"/>
      <c r="GU686" s="46"/>
    </row>
    <row r="687" spans="1:203" s="58" customFormat="1" ht="30" hidden="1" customHeight="1" outlineLevel="1" x14ac:dyDescent="0.4">
      <c r="A687" s="54"/>
      <c r="B687" s="48" t="s">
        <v>73</v>
      </c>
      <c r="C687" s="49" t="s">
        <v>74</v>
      </c>
      <c r="D687" s="68">
        <f>3.31*D686</f>
        <v>56.078629040000003</v>
      </c>
      <c r="E687" s="69">
        <v>5.6000000000000001E-2</v>
      </c>
      <c r="F687" s="57"/>
    </row>
    <row r="688" spans="1:203" s="43" customFormat="1" ht="36" customHeight="1" collapsed="1" x14ac:dyDescent="0.35">
      <c r="A688" s="24">
        <f>A686+1</f>
        <v>295</v>
      </c>
      <c r="B688" s="59" t="s">
        <v>75</v>
      </c>
      <c r="C688" s="26" t="s">
        <v>29</v>
      </c>
      <c r="D688" s="67">
        <f>((0.089*3.14*17)+(0.108*3.14*17.7)+(0.219*3.14*9))</f>
        <v>16.942184000000001</v>
      </c>
      <c r="E688" s="41"/>
      <c r="F688" s="42"/>
      <c r="H688" s="44"/>
      <c r="K688" s="45"/>
      <c r="L688" s="45"/>
      <c r="M688" s="45"/>
      <c r="N688" s="44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6"/>
      <c r="DF688" s="46"/>
      <c r="DG688" s="46"/>
      <c r="DH688" s="46"/>
      <c r="DI688" s="46"/>
      <c r="DJ688" s="46"/>
      <c r="DK688" s="46"/>
      <c r="DL688" s="46"/>
      <c r="DM688" s="46"/>
      <c r="DN688" s="46"/>
      <c r="DO688" s="46"/>
      <c r="DP688" s="46"/>
      <c r="DQ688" s="46"/>
      <c r="DR688" s="46"/>
      <c r="DS688" s="46"/>
      <c r="DT688" s="46"/>
      <c r="DU688" s="46"/>
      <c r="DV688" s="46"/>
      <c r="DW688" s="46"/>
      <c r="DX688" s="46"/>
      <c r="DY688" s="46"/>
      <c r="DZ688" s="46"/>
      <c r="EA688" s="46"/>
      <c r="EB688" s="46"/>
      <c r="EC688" s="46"/>
      <c r="ED688" s="46"/>
      <c r="EE688" s="46"/>
      <c r="EF688" s="46"/>
      <c r="EG688" s="46"/>
      <c r="EH688" s="46"/>
      <c r="EI688" s="46"/>
      <c r="EJ688" s="46"/>
      <c r="EK688" s="46"/>
      <c r="EL688" s="46"/>
      <c r="EM688" s="46"/>
      <c r="EN688" s="46"/>
      <c r="EO688" s="46"/>
      <c r="EP688" s="46"/>
      <c r="EQ688" s="46"/>
      <c r="ER688" s="46"/>
      <c r="ES688" s="46"/>
      <c r="ET688" s="46"/>
      <c r="EU688" s="46"/>
      <c r="EV688" s="46"/>
      <c r="EW688" s="46"/>
      <c r="EX688" s="46"/>
      <c r="EY688" s="46"/>
      <c r="EZ688" s="46"/>
      <c r="FA688" s="46"/>
      <c r="FB688" s="46"/>
      <c r="FC688" s="46"/>
      <c r="FD688" s="46"/>
      <c r="FE688" s="46"/>
      <c r="FF688" s="46"/>
      <c r="FG688" s="46"/>
      <c r="FH688" s="46"/>
      <c r="FI688" s="46"/>
      <c r="FJ688" s="46"/>
      <c r="FK688" s="46"/>
      <c r="FL688" s="46"/>
      <c r="FM688" s="46"/>
      <c r="FN688" s="46"/>
      <c r="FO688" s="46"/>
      <c r="FP688" s="46"/>
      <c r="FQ688" s="46"/>
      <c r="FR688" s="46"/>
      <c r="FS688" s="46"/>
      <c r="FT688" s="46"/>
      <c r="FU688" s="46"/>
      <c r="FV688" s="46"/>
      <c r="FW688" s="46"/>
      <c r="FX688" s="46"/>
      <c r="FY688" s="46"/>
      <c r="FZ688" s="46"/>
      <c r="GA688" s="46"/>
      <c r="GB688" s="46"/>
      <c r="GC688" s="46"/>
      <c r="GD688" s="46"/>
      <c r="GE688" s="46"/>
      <c r="GF688" s="46"/>
      <c r="GG688" s="46"/>
      <c r="GH688" s="46"/>
      <c r="GI688" s="46"/>
      <c r="GJ688" s="46"/>
      <c r="GK688" s="46"/>
      <c r="GL688" s="46"/>
      <c r="GM688" s="46"/>
      <c r="GN688" s="46"/>
      <c r="GO688" s="46"/>
      <c r="GP688" s="46"/>
      <c r="GQ688" s="46"/>
      <c r="GR688" s="46"/>
      <c r="GS688" s="46"/>
      <c r="GT688" s="46"/>
      <c r="GU688" s="46"/>
    </row>
    <row r="689" spans="1:203" s="43" customFormat="1" ht="36" customHeight="1" x14ac:dyDescent="0.35">
      <c r="A689" s="24">
        <f>A688+1</f>
        <v>296</v>
      </c>
      <c r="B689" s="59" t="s">
        <v>76</v>
      </c>
      <c r="C689" s="26" t="s">
        <v>29</v>
      </c>
      <c r="D689" s="67">
        <f>((0.089*3.14*17)+(0.108*3.14*17.7)+(0.219*3.14*9))</f>
        <v>16.942184000000001</v>
      </c>
      <c r="E689" s="41"/>
      <c r="F689" s="42"/>
      <c r="H689" s="44"/>
      <c r="K689" s="45"/>
      <c r="L689" s="45"/>
      <c r="M689" s="45"/>
      <c r="N689" s="44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6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6"/>
      <c r="EK689" s="46"/>
      <c r="EL689" s="46"/>
      <c r="EM689" s="46"/>
      <c r="EN689" s="46"/>
      <c r="EO689" s="46"/>
      <c r="EP689" s="46"/>
      <c r="EQ689" s="46"/>
      <c r="ER689" s="46"/>
      <c r="ES689" s="46"/>
      <c r="ET689" s="46"/>
      <c r="EU689" s="46"/>
      <c r="EV689" s="46"/>
      <c r="EW689" s="46"/>
      <c r="EX689" s="46"/>
      <c r="EY689" s="46"/>
      <c r="EZ689" s="46"/>
      <c r="FA689" s="46"/>
      <c r="FB689" s="46"/>
      <c r="FC689" s="46"/>
      <c r="FD689" s="46"/>
      <c r="FE689" s="46"/>
      <c r="FF689" s="46"/>
      <c r="FG689" s="46"/>
      <c r="FH689" s="46"/>
      <c r="FI689" s="46"/>
      <c r="FJ689" s="46"/>
      <c r="FK689" s="46"/>
      <c r="FL689" s="46"/>
      <c r="FM689" s="46"/>
      <c r="FN689" s="46"/>
      <c r="FO689" s="46"/>
      <c r="FP689" s="46"/>
      <c r="FQ689" s="46"/>
      <c r="FR689" s="46"/>
      <c r="FS689" s="46"/>
      <c r="FT689" s="46"/>
      <c r="FU689" s="46"/>
      <c r="FV689" s="46"/>
      <c r="FW689" s="46"/>
      <c r="FX689" s="46"/>
      <c r="FY689" s="46"/>
      <c r="FZ689" s="46"/>
      <c r="GA689" s="46"/>
      <c r="GB689" s="46"/>
      <c r="GC689" s="46"/>
      <c r="GD689" s="46"/>
      <c r="GE689" s="46"/>
      <c r="GF689" s="46"/>
      <c r="GG689" s="46"/>
      <c r="GH689" s="46"/>
      <c r="GI689" s="46"/>
      <c r="GJ689" s="46"/>
      <c r="GK689" s="46"/>
      <c r="GL689" s="46"/>
      <c r="GM689" s="46"/>
      <c r="GN689" s="46"/>
      <c r="GO689" s="46"/>
      <c r="GP689" s="46"/>
      <c r="GQ689" s="46"/>
      <c r="GR689" s="46"/>
      <c r="GS689" s="46"/>
      <c r="GT689" s="46"/>
      <c r="GU689" s="46"/>
    </row>
    <row r="690" spans="1:203" s="58" customFormat="1" ht="30" customHeight="1" x14ac:dyDescent="0.4">
      <c r="A690" s="24">
        <f>A689+1</f>
        <v>297</v>
      </c>
      <c r="B690" s="59" t="s">
        <v>77</v>
      </c>
      <c r="C690" s="70" t="s">
        <v>29</v>
      </c>
      <c r="D690" s="67">
        <f>((0.089*3.14*17)+(0.108*3.14*17.7)+(0.219*3.14*9))</f>
        <v>16.942184000000001</v>
      </c>
      <c r="E690" s="66"/>
      <c r="F690" s="57"/>
    </row>
    <row r="691" spans="1:203" s="58" customFormat="1" ht="30" hidden="1" customHeight="1" outlineLevel="1" x14ac:dyDescent="0.4">
      <c r="A691" s="54"/>
      <c r="B691" s="48" t="s">
        <v>78</v>
      </c>
      <c r="C691" s="49" t="s">
        <v>74</v>
      </c>
      <c r="D691" s="68">
        <f>D690*0.255</f>
        <v>4.3202569200000003</v>
      </c>
      <c r="E691" s="69">
        <v>4.0000000000000001E-3</v>
      </c>
      <c r="F691" s="57"/>
    </row>
    <row r="692" spans="1:203" s="58" customFormat="1" ht="30" customHeight="1" collapsed="1" x14ac:dyDescent="0.4">
      <c r="A692" s="24">
        <f>A690+1</f>
        <v>298</v>
      </c>
      <c r="B692" s="59" t="s">
        <v>79</v>
      </c>
      <c r="C692" s="70" t="s">
        <v>29</v>
      </c>
      <c r="D692" s="67">
        <f>((0.089*3.14*17)+(0.108*3.14*17.7)+(0.219*3.14*9))</f>
        <v>16.942184000000001</v>
      </c>
      <c r="E692" s="66"/>
      <c r="F692" s="57"/>
    </row>
    <row r="693" spans="1:203" s="58" customFormat="1" ht="30" hidden="1" customHeight="1" outlineLevel="1" x14ac:dyDescent="0.4">
      <c r="A693" s="54"/>
      <c r="B693" s="48" t="s">
        <v>80</v>
      </c>
      <c r="C693" s="49" t="s">
        <v>74</v>
      </c>
      <c r="D693" s="68">
        <f>D692*0.36*2</f>
        <v>12.19837248</v>
      </c>
      <c r="E693" s="69">
        <v>1.2E-2</v>
      </c>
      <c r="F693" s="57"/>
    </row>
    <row r="694" spans="1:203" s="58" customFormat="1" ht="46.3" collapsed="1" x14ac:dyDescent="0.4">
      <c r="A694" s="24">
        <f>A692+1</f>
        <v>299</v>
      </c>
      <c r="B694" s="59" t="s">
        <v>364</v>
      </c>
      <c r="C694" s="70" t="s">
        <v>19</v>
      </c>
      <c r="D694" s="67">
        <v>2.06</v>
      </c>
      <c r="E694" s="66"/>
      <c r="F694" s="57"/>
    </row>
    <row r="695" spans="1:203" s="58" customFormat="1" ht="30.9" hidden="1" outlineLevel="1" x14ac:dyDescent="0.4">
      <c r="A695" s="54"/>
      <c r="B695" s="48" t="s">
        <v>365</v>
      </c>
      <c r="C695" s="49" t="s">
        <v>19</v>
      </c>
      <c r="D695" s="68">
        <v>2.06</v>
      </c>
      <c r="E695" s="69"/>
      <c r="F695" s="57"/>
      <c r="J695" s="58">
        <v>1.08</v>
      </c>
    </row>
    <row r="696" spans="1:203" s="58" customFormat="1" ht="30" customHeight="1" collapsed="1" x14ac:dyDescent="0.4">
      <c r="A696" s="24">
        <f>A694+1</f>
        <v>300</v>
      </c>
      <c r="B696" s="59" t="s">
        <v>366</v>
      </c>
      <c r="C696" s="70" t="s">
        <v>29</v>
      </c>
      <c r="D696" s="67">
        <v>35.700000000000003</v>
      </c>
      <c r="E696" s="66"/>
      <c r="F696" s="57"/>
    </row>
    <row r="697" spans="1:203" s="58" customFormat="1" ht="30" hidden="1" customHeight="1" outlineLevel="1" x14ac:dyDescent="0.4">
      <c r="A697" s="54"/>
      <c r="B697" s="48" t="s">
        <v>367</v>
      </c>
      <c r="C697" s="49" t="s">
        <v>29</v>
      </c>
      <c r="D697" s="68">
        <v>35.700000000000003</v>
      </c>
      <c r="E697" s="69"/>
      <c r="F697" s="57"/>
      <c r="J697" s="58">
        <v>1.22</v>
      </c>
    </row>
    <row r="698" spans="1:203" s="39" customFormat="1" ht="21" customHeight="1" collapsed="1" x14ac:dyDescent="0.35">
      <c r="A698" s="158" t="s">
        <v>429</v>
      </c>
      <c r="B698" s="158"/>
      <c r="C698" s="158"/>
      <c r="D698" s="158"/>
      <c r="E698" s="158"/>
      <c r="F698" s="34"/>
      <c r="G698" s="35"/>
      <c r="H698" s="36"/>
      <c r="I698" s="37"/>
      <c r="J698" s="37"/>
      <c r="K698" s="38"/>
      <c r="L698" s="38"/>
      <c r="M698" s="38"/>
      <c r="N698" s="36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</row>
    <row r="699" spans="1:203" s="58" customFormat="1" ht="30" customHeight="1" x14ac:dyDescent="0.4">
      <c r="A699" s="72">
        <f>A696+1</f>
        <v>301</v>
      </c>
      <c r="B699" s="71" t="s">
        <v>240</v>
      </c>
      <c r="C699" s="40" t="s">
        <v>58</v>
      </c>
      <c r="D699" s="82">
        <v>2</v>
      </c>
      <c r="E699" s="66"/>
      <c r="F699" s="57"/>
    </row>
    <row r="700" spans="1:203" s="58" customFormat="1" ht="30" hidden="1" customHeight="1" outlineLevel="1" x14ac:dyDescent="0.4">
      <c r="A700" s="54"/>
      <c r="B700" s="48" t="s">
        <v>241</v>
      </c>
      <c r="C700" s="49" t="s">
        <v>14</v>
      </c>
      <c r="D700" s="65">
        <f>0.6*1.88*2/1000</f>
        <v>2.2559999999999998E-3</v>
      </c>
      <c r="E700" s="51"/>
      <c r="F700" s="57"/>
    </row>
    <row r="701" spans="1:203" s="58" customFormat="1" ht="30" hidden="1" customHeight="1" outlineLevel="1" x14ac:dyDescent="0.4">
      <c r="A701" s="54"/>
      <c r="B701" s="48" t="s">
        <v>242</v>
      </c>
      <c r="C701" s="49" t="s">
        <v>58</v>
      </c>
      <c r="D701" s="55">
        <v>4</v>
      </c>
      <c r="E701" s="51"/>
      <c r="F701" s="57"/>
    </row>
    <row r="702" spans="1:203" s="58" customFormat="1" ht="30" hidden="1" customHeight="1" outlineLevel="1" x14ac:dyDescent="0.4">
      <c r="A702" s="54"/>
      <c r="B702" s="48" t="s">
        <v>243</v>
      </c>
      <c r="C702" s="49" t="s">
        <v>58</v>
      </c>
      <c r="D702" s="55">
        <v>12</v>
      </c>
      <c r="E702" s="51"/>
      <c r="F702" s="57"/>
    </row>
    <row r="703" spans="1:203" s="58" customFormat="1" ht="30" hidden="1" customHeight="1" outlineLevel="1" x14ac:dyDescent="0.4">
      <c r="A703" s="54"/>
      <c r="B703" s="48" t="s">
        <v>244</v>
      </c>
      <c r="C703" s="49" t="s">
        <v>58</v>
      </c>
      <c r="D703" s="55">
        <v>4</v>
      </c>
      <c r="E703" s="51"/>
      <c r="F703" s="57"/>
    </row>
    <row r="704" spans="1:203" s="58" customFormat="1" ht="30" hidden="1" customHeight="1" outlineLevel="1" x14ac:dyDescent="0.4">
      <c r="A704" s="54"/>
      <c r="B704" s="48" t="s">
        <v>245</v>
      </c>
      <c r="C704" s="49" t="s">
        <v>58</v>
      </c>
      <c r="D704" s="55">
        <v>8</v>
      </c>
      <c r="E704" s="51"/>
      <c r="F704" s="57"/>
    </row>
    <row r="705" spans="1:203" s="58" customFormat="1" ht="30" hidden="1" customHeight="1" outlineLevel="1" x14ac:dyDescent="0.4">
      <c r="A705" s="54"/>
      <c r="B705" s="48" t="s">
        <v>246</v>
      </c>
      <c r="C705" s="49" t="s">
        <v>58</v>
      </c>
      <c r="D705" s="55">
        <v>16</v>
      </c>
      <c r="E705" s="51"/>
      <c r="F705" s="57"/>
    </row>
    <row r="706" spans="1:203" s="58" customFormat="1" ht="30" hidden="1" customHeight="1" outlineLevel="1" x14ac:dyDescent="0.4">
      <c r="A706" s="54"/>
      <c r="B706" s="48" t="s">
        <v>247</v>
      </c>
      <c r="C706" s="49" t="s">
        <v>58</v>
      </c>
      <c r="D706" s="55">
        <v>16</v>
      </c>
      <c r="E706" s="51"/>
      <c r="F706" s="57"/>
    </row>
    <row r="707" spans="1:203" s="58" customFormat="1" ht="30" customHeight="1" collapsed="1" x14ac:dyDescent="0.4">
      <c r="A707" s="72">
        <f>A699+1</f>
        <v>302</v>
      </c>
      <c r="B707" s="25" t="s">
        <v>308</v>
      </c>
      <c r="C707" s="89" t="s">
        <v>19</v>
      </c>
      <c r="D707" s="90">
        <f>0.7*0.5*64</f>
        <v>22.4</v>
      </c>
      <c r="E707" s="91"/>
      <c r="F707" s="57"/>
    </row>
    <row r="708" spans="1:203" s="58" customFormat="1" ht="30" customHeight="1" x14ac:dyDescent="0.4">
      <c r="A708" s="24">
        <f>A707+1</f>
        <v>303</v>
      </c>
      <c r="B708" s="25" t="s">
        <v>309</v>
      </c>
      <c r="C708" s="89" t="s">
        <v>19</v>
      </c>
      <c r="D708" s="105">
        <f>0.7*0.5*207</f>
        <v>72.449999999999989</v>
      </c>
      <c r="E708" s="91"/>
      <c r="F708" s="57"/>
    </row>
    <row r="709" spans="1:203" s="58" customFormat="1" ht="30" customHeight="1" x14ac:dyDescent="0.4">
      <c r="A709" s="24">
        <f>A708+1</f>
        <v>304</v>
      </c>
      <c r="B709" s="25" t="s">
        <v>310</v>
      </c>
      <c r="C709" s="89" t="s">
        <v>19</v>
      </c>
      <c r="D709" s="105">
        <f>0.7*0.5*207</f>
        <v>72.449999999999989</v>
      </c>
      <c r="E709" s="91"/>
      <c r="F709" s="57"/>
    </row>
    <row r="710" spans="1:203" s="58" customFormat="1" ht="30" customHeight="1" x14ac:dyDescent="0.4">
      <c r="A710" s="72">
        <f>A709+1</f>
        <v>305</v>
      </c>
      <c r="B710" s="59" t="s">
        <v>403</v>
      </c>
      <c r="C710" s="70" t="s">
        <v>132</v>
      </c>
      <c r="D710" s="40">
        <v>207</v>
      </c>
      <c r="E710" s="66"/>
      <c r="F710" s="57"/>
    </row>
    <row r="711" spans="1:203" s="58" customFormat="1" ht="30" hidden="1" customHeight="1" outlineLevel="1" x14ac:dyDescent="0.4">
      <c r="A711" s="54"/>
      <c r="B711" s="48" t="s">
        <v>404</v>
      </c>
      <c r="C711" s="49" t="s">
        <v>14</v>
      </c>
      <c r="D711" s="65">
        <f>207*1.26/1000</f>
        <v>0.26082</v>
      </c>
      <c r="E711" s="51">
        <f>207*1.26/1000</f>
        <v>0.26082</v>
      </c>
      <c r="F711" s="57"/>
    </row>
    <row r="712" spans="1:203" s="43" customFormat="1" ht="36" customHeight="1" collapsed="1" x14ac:dyDescent="0.35">
      <c r="A712" s="24">
        <f>A710+1</f>
        <v>306</v>
      </c>
      <c r="B712" s="59" t="s">
        <v>405</v>
      </c>
      <c r="C712" s="26" t="s">
        <v>58</v>
      </c>
      <c r="D712" s="82">
        <v>14</v>
      </c>
      <c r="E712" s="41"/>
      <c r="F712" s="42"/>
      <c r="H712" s="44"/>
      <c r="K712" s="45"/>
      <c r="L712" s="45"/>
      <c r="M712" s="45"/>
      <c r="N712" s="44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46"/>
      <c r="DP712" s="46"/>
      <c r="DQ712" s="46"/>
      <c r="DR712" s="46"/>
      <c r="DS712" s="46"/>
      <c r="DT712" s="46"/>
      <c r="DU712" s="46"/>
      <c r="DV712" s="46"/>
      <c r="DW712" s="46"/>
      <c r="DX712" s="46"/>
      <c r="DY712" s="46"/>
      <c r="DZ712" s="46"/>
      <c r="EA712" s="46"/>
      <c r="EB712" s="46"/>
      <c r="EC712" s="46"/>
      <c r="ED712" s="46"/>
      <c r="EE712" s="46"/>
      <c r="EF712" s="46"/>
      <c r="EG712" s="46"/>
      <c r="EH712" s="46"/>
      <c r="EI712" s="46"/>
      <c r="EJ712" s="46"/>
      <c r="EK712" s="46"/>
      <c r="EL712" s="46"/>
      <c r="EM712" s="46"/>
      <c r="EN712" s="46"/>
      <c r="EO712" s="46"/>
      <c r="EP712" s="46"/>
      <c r="EQ712" s="46"/>
      <c r="ER712" s="46"/>
      <c r="ES712" s="46"/>
      <c r="ET712" s="46"/>
      <c r="EU712" s="46"/>
      <c r="EV712" s="46"/>
      <c r="EW712" s="46"/>
      <c r="EX712" s="46"/>
      <c r="EY712" s="46"/>
      <c r="EZ712" s="46"/>
      <c r="FA712" s="46"/>
      <c r="FB712" s="46"/>
      <c r="FC712" s="46"/>
      <c r="FD712" s="46"/>
      <c r="FE712" s="46"/>
      <c r="FF712" s="46"/>
      <c r="FG712" s="46"/>
      <c r="FH712" s="46"/>
      <c r="FI712" s="46"/>
      <c r="FJ712" s="46"/>
      <c r="FK712" s="46"/>
      <c r="FL712" s="46"/>
      <c r="FM712" s="46"/>
      <c r="FN712" s="46"/>
      <c r="FO712" s="46"/>
      <c r="FP712" s="46"/>
      <c r="FQ712" s="46"/>
      <c r="FR712" s="46"/>
      <c r="FS712" s="46"/>
      <c r="FT712" s="46"/>
      <c r="FU712" s="46"/>
      <c r="FV712" s="46"/>
      <c r="FW712" s="46"/>
      <c r="FX712" s="46"/>
      <c r="FY712" s="46"/>
      <c r="FZ712" s="46"/>
      <c r="GA712" s="46"/>
      <c r="GB712" s="46"/>
      <c r="GC712" s="46"/>
      <c r="GD712" s="46"/>
      <c r="GE712" s="46"/>
      <c r="GF712" s="46"/>
      <c r="GG712" s="46"/>
      <c r="GH712" s="46"/>
      <c r="GI712" s="46"/>
      <c r="GJ712" s="46"/>
      <c r="GK712" s="46"/>
      <c r="GL712" s="46"/>
      <c r="GM712" s="46"/>
      <c r="GN712" s="46"/>
      <c r="GO712" s="46"/>
      <c r="GP712" s="46"/>
      <c r="GQ712" s="46"/>
      <c r="GR712" s="46"/>
      <c r="GS712" s="46"/>
      <c r="GT712" s="46"/>
      <c r="GU712" s="46"/>
    </row>
    <row r="713" spans="1:203" s="58" customFormat="1" ht="30" hidden="1" customHeight="1" outlineLevel="1" x14ac:dyDescent="0.4">
      <c r="A713" s="54"/>
      <c r="B713" s="48" t="s">
        <v>406</v>
      </c>
      <c r="C713" s="49" t="s">
        <v>14</v>
      </c>
      <c r="D713" s="65">
        <f>70*1.58/1000</f>
        <v>0.1106</v>
      </c>
      <c r="E713" s="51"/>
      <c r="F713" s="57"/>
    </row>
    <row r="714" spans="1:203" s="58" customFormat="1" ht="30" customHeight="1" collapsed="1" x14ac:dyDescent="0.4">
      <c r="A714" s="24">
        <f>A712+1</f>
        <v>307</v>
      </c>
      <c r="B714" s="71" t="s">
        <v>315</v>
      </c>
      <c r="C714" s="40" t="s">
        <v>132</v>
      </c>
      <c r="D714" s="82">
        <v>73</v>
      </c>
      <c r="E714" s="66"/>
      <c r="F714" s="57"/>
    </row>
    <row r="715" spans="1:203" s="58" customFormat="1" ht="30" hidden="1" customHeight="1" outlineLevel="1" x14ac:dyDescent="0.4">
      <c r="A715" s="87"/>
      <c r="B715" s="48" t="s">
        <v>314</v>
      </c>
      <c r="C715" s="75" t="s">
        <v>14</v>
      </c>
      <c r="D715" s="65">
        <f>73*1.26/1000</f>
        <v>9.1980000000000006E-2</v>
      </c>
      <c r="E715" s="88">
        <v>9.1999999999999998E-2</v>
      </c>
      <c r="F715" s="57"/>
    </row>
    <row r="716" spans="1:203" s="43" customFormat="1" ht="36" customHeight="1" collapsed="1" x14ac:dyDescent="0.35">
      <c r="A716" s="24">
        <f>A714+1</f>
        <v>308</v>
      </c>
      <c r="B716" s="59" t="s">
        <v>316</v>
      </c>
      <c r="C716" s="26" t="s">
        <v>132</v>
      </c>
      <c r="D716" s="82">
        <v>40</v>
      </c>
      <c r="E716" s="41"/>
      <c r="F716" s="42"/>
      <c r="H716" s="44"/>
      <c r="K716" s="45"/>
      <c r="L716" s="45"/>
      <c r="M716" s="45"/>
      <c r="N716" s="44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46"/>
      <c r="DP716" s="46"/>
      <c r="DQ716" s="46"/>
      <c r="DR716" s="46"/>
      <c r="DS716" s="46"/>
      <c r="DT716" s="46"/>
      <c r="DU716" s="46"/>
      <c r="DV716" s="46"/>
      <c r="DW716" s="46"/>
      <c r="DX716" s="46"/>
      <c r="DY716" s="46"/>
      <c r="DZ716" s="46"/>
      <c r="EA716" s="46"/>
      <c r="EB716" s="46"/>
      <c r="EC716" s="46"/>
      <c r="ED716" s="46"/>
      <c r="EE716" s="46"/>
      <c r="EF716" s="46"/>
      <c r="EG716" s="46"/>
      <c r="EH716" s="46"/>
      <c r="EI716" s="46"/>
      <c r="EJ716" s="46"/>
      <c r="EK716" s="46"/>
      <c r="EL716" s="46"/>
      <c r="EM716" s="46"/>
      <c r="EN716" s="46"/>
      <c r="EO716" s="46"/>
      <c r="EP716" s="46"/>
      <c r="EQ716" s="46"/>
      <c r="ER716" s="46"/>
      <c r="ES716" s="46"/>
      <c r="ET716" s="46"/>
      <c r="EU716" s="46"/>
      <c r="EV716" s="46"/>
      <c r="EW716" s="46"/>
      <c r="EX716" s="46"/>
      <c r="EY716" s="46"/>
      <c r="EZ716" s="46"/>
      <c r="FA716" s="46"/>
      <c r="FB716" s="46"/>
      <c r="FC716" s="46"/>
      <c r="FD716" s="46"/>
      <c r="FE716" s="46"/>
      <c r="FF716" s="46"/>
      <c r="FG716" s="46"/>
      <c r="FH716" s="46"/>
      <c r="FI716" s="46"/>
      <c r="FJ716" s="46"/>
      <c r="FK716" s="46"/>
      <c r="FL716" s="46"/>
      <c r="FM716" s="46"/>
      <c r="FN716" s="46"/>
      <c r="FO716" s="46"/>
      <c r="FP716" s="46"/>
      <c r="FQ716" s="46"/>
      <c r="FR716" s="46"/>
      <c r="FS716" s="46"/>
      <c r="FT716" s="46"/>
      <c r="FU716" s="46"/>
      <c r="FV716" s="46"/>
      <c r="FW716" s="46"/>
      <c r="FX716" s="46"/>
      <c r="FY716" s="46"/>
      <c r="FZ716" s="46"/>
      <c r="GA716" s="46"/>
      <c r="GB716" s="46"/>
      <c r="GC716" s="46"/>
      <c r="GD716" s="46"/>
      <c r="GE716" s="46"/>
      <c r="GF716" s="46"/>
      <c r="GG716" s="46"/>
      <c r="GH716" s="46"/>
      <c r="GI716" s="46"/>
      <c r="GJ716" s="46"/>
      <c r="GK716" s="46"/>
      <c r="GL716" s="46"/>
      <c r="GM716" s="46"/>
      <c r="GN716" s="46"/>
      <c r="GO716" s="46"/>
      <c r="GP716" s="46"/>
      <c r="GQ716" s="46"/>
      <c r="GR716" s="46"/>
      <c r="GS716" s="46"/>
      <c r="GT716" s="46"/>
      <c r="GU716" s="46"/>
    </row>
    <row r="717" spans="1:203" s="58" customFormat="1" ht="30" hidden="1" customHeight="1" outlineLevel="1" x14ac:dyDescent="0.4">
      <c r="A717" s="54"/>
      <c r="B717" s="48" t="s">
        <v>407</v>
      </c>
      <c r="C717" s="49" t="s">
        <v>132</v>
      </c>
      <c r="D717" s="55">
        <v>40</v>
      </c>
      <c r="E717" s="51"/>
      <c r="F717" s="57"/>
    </row>
    <row r="718" spans="1:203" s="58" customFormat="1" ht="30" hidden="1" customHeight="1" outlineLevel="1" x14ac:dyDescent="0.4">
      <c r="A718" s="54"/>
      <c r="B718" s="48" t="s">
        <v>408</v>
      </c>
      <c r="C718" s="49" t="s">
        <v>58</v>
      </c>
      <c r="D718" s="55">
        <v>80</v>
      </c>
      <c r="E718" s="51"/>
      <c r="F718" s="57"/>
    </row>
    <row r="719" spans="1:203" s="58" customFormat="1" ht="30" hidden="1" customHeight="1" outlineLevel="1" x14ac:dyDescent="0.4">
      <c r="A719" s="54"/>
      <c r="B719" s="48" t="s">
        <v>409</v>
      </c>
      <c r="C719" s="49" t="s">
        <v>58</v>
      </c>
      <c r="D719" s="55">
        <v>80</v>
      </c>
      <c r="E719" s="51"/>
      <c r="F719" s="57"/>
    </row>
    <row r="720" spans="1:203" s="58" customFormat="1" ht="30" hidden="1" customHeight="1" outlineLevel="1" x14ac:dyDescent="0.4">
      <c r="A720" s="54"/>
      <c r="B720" s="48" t="s">
        <v>410</v>
      </c>
      <c r="C720" s="49" t="s">
        <v>58</v>
      </c>
      <c r="D720" s="55">
        <v>80</v>
      </c>
      <c r="E720" s="51"/>
      <c r="F720" s="57"/>
    </row>
    <row r="721" spans="1:28" s="58" customFormat="1" ht="30" hidden="1" customHeight="1" outlineLevel="1" x14ac:dyDescent="0.4">
      <c r="A721" s="54"/>
      <c r="B721" s="48" t="s">
        <v>411</v>
      </c>
      <c r="C721" s="49" t="s">
        <v>58</v>
      </c>
      <c r="D721" s="55">
        <v>160</v>
      </c>
      <c r="E721" s="51"/>
      <c r="F721" s="57"/>
    </row>
    <row r="722" spans="1:28" s="39" customFormat="1" ht="21" customHeight="1" collapsed="1" x14ac:dyDescent="0.35">
      <c r="A722" s="158" t="s">
        <v>430</v>
      </c>
      <c r="B722" s="158"/>
      <c r="C722" s="158"/>
      <c r="D722" s="158"/>
      <c r="E722" s="158"/>
      <c r="F722" s="34"/>
      <c r="G722" s="35"/>
      <c r="H722" s="36"/>
      <c r="I722" s="37"/>
      <c r="J722" s="37"/>
      <c r="K722" s="38"/>
      <c r="L722" s="38"/>
      <c r="M722" s="38"/>
      <c r="N722" s="36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</row>
    <row r="723" spans="1:28" s="58" customFormat="1" ht="30" customHeight="1" x14ac:dyDescent="0.4">
      <c r="A723" s="24">
        <f>A716+1</f>
        <v>309</v>
      </c>
      <c r="B723" s="25" t="s">
        <v>431</v>
      </c>
      <c r="C723" s="89" t="s">
        <v>132</v>
      </c>
      <c r="D723" s="90">
        <v>3015</v>
      </c>
      <c r="E723" s="91"/>
      <c r="F723" s="57"/>
    </row>
    <row r="724" spans="1:28" s="58" customFormat="1" ht="30" hidden="1" customHeight="1" outlineLevel="1" x14ac:dyDescent="0.4">
      <c r="A724" s="87"/>
      <c r="B724" s="48" t="s">
        <v>432</v>
      </c>
      <c r="C724" s="75" t="s">
        <v>132</v>
      </c>
      <c r="D724" s="74">
        <v>220</v>
      </c>
      <c r="E724" s="88">
        <v>0.22</v>
      </c>
      <c r="F724" s="57"/>
    </row>
    <row r="725" spans="1:28" s="58" customFormat="1" ht="30" hidden="1" customHeight="1" outlineLevel="1" x14ac:dyDescent="0.4">
      <c r="A725" s="87"/>
      <c r="B725" s="48" t="s">
        <v>433</v>
      </c>
      <c r="C725" s="75" t="s">
        <v>132</v>
      </c>
      <c r="D725" s="74">
        <v>220</v>
      </c>
      <c r="E725" s="88">
        <v>0.22</v>
      </c>
      <c r="F725" s="57"/>
    </row>
    <row r="726" spans="1:28" s="58" customFormat="1" ht="30" hidden="1" customHeight="1" outlineLevel="1" x14ac:dyDescent="0.4">
      <c r="A726" s="87"/>
      <c r="B726" s="48" t="s">
        <v>434</v>
      </c>
      <c r="C726" s="75" t="s">
        <v>132</v>
      </c>
      <c r="D726" s="74">
        <v>220</v>
      </c>
      <c r="E726" s="88">
        <v>0.22</v>
      </c>
      <c r="F726" s="57"/>
    </row>
    <row r="727" spans="1:28" s="58" customFormat="1" ht="30" hidden="1" customHeight="1" outlineLevel="1" x14ac:dyDescent="0.4">
      <c r="A727" s="87"/>
      <c r="B727" s="48" t="s">
        <v>435</v>
      </c>
      <c r="C727" s="75" t="s">
        <v>132</v>
      </c>
      <c r="D727" s="74">
        <v>220</v>
      </c>
      <c r="E727" s="88">
        <v>0.01</v>
      </c>
      <c r="F727" s="57"/>
    </row>
    <row r="728" spans="1:28" s="58" customFormat="1" ht="30" hidden="1" customHeight="1" outlineLevel="1" x14ac:dyDescent="0.4">
      <c r="A728" s="87"/>
      <c r="B728" s="48" t="s">
        <v>436</v>
      </c>
      <c r="C728" s="75" t="s">
        <v>132</v>
      </c>
      <c r="D728" s="74">
        <v>635</v>
      </c>
      <c r="E728" s="88">
        <v>0.01</v>
      </c>
      <c r="F728" s="57"/>
    </row>
    <row r="729" spans="1:28" s="58" customFormat="1" ht="30" hidden="1" customHeight="1" outlineLevel="1" x14ac:dyDescent="0.4">
      <c r="A729" s="87"/>
      <c r="B729" s="48" t="s">
        <v>437</v>
      </c>
      <c r="C729" s="75" t="s">
        <v>132</v>
      </c>
      <c r="D729" s="74">
        <v>230</v>
      </c>
      <c r="E729" s="88">
        <v>2E-3</v>
      </c>
      <c r="F729" s="57"/>
    </row>
    <row r="730" spans="1:28" s="58" customFormat="1" ht="30" hidden="1" customHeight="1" outlineLevel="1" x14ac:dyDescent="0.4">
      <c r="A730" s="87"/>
      <c r="B730" s="48" t="s">
        <v>438</v>
      </c>
      <c r="C730" s="75" t="s">
        <v>132</v>
      </c>
      <c r="D730" s="74">
        <v>185</v>
      </c>
      <c r="E730" s="88">
        <v>0.44</v>
      </c>
      <c r="F730" s="57"/>
    </row>
    <row r="731" spans="1:28" s="58" customFormat="1" ht="30" hidden="1" customHeight="1" outlineLevel="1" x14ac:dyDescent="0.4">
      <c r="A731" s="87"/>
      <c r="B731" s="48" t="s">
        <v>439</v>
      </c>
      <c r="C731" s="75" t="s">
        <v>132</v>
      </c>
      <c r="D731" s="74">
        <v>200</v>
      </c>
      <c r="E731" s="88">
        <v>0.44</v>
      </c>
      <c r="F731" s="57"/>
    </row>
    <row r="732" spans="1:28" s="58" customFormat="1" ht="30" hidden="1" customHeight="1" outlineLevel="1" x14ac:dyDescent="0.4">
      <c r="A732" s="87"/>
      <c r="B732" s="48" t="s">
        <v>440</v>
      </c>
      <c r="C732" s="75" t="s">
        <v>132</v>
      </c>
      <c r="D732" s="74">
        <v>885</v>
      </c>
      <c r="E732" s="88"/>
      <c r="F732" s="57"/>
    </row>
    <row r="733" spans="1:28" s="58" customFormat="1" ht="30" hidden="1" customHeight="1" outlineLevel="1" x14ac:dyDescent="0.4">
      <c r="A733" s="87"/>
      <c r="B733" s="48" t="s">
        <v>441</v>
      </c>
      <c r="C733" s="75" t="s">
        <v>58</v>
      </c>
      <c r="D733" s="74">
        <v>10</v>
      </c>
      <c r="E733" s="88"/>
      <c r="F733" s="57"/>
    </row>
    <row r="734" spans="1:28" s="58" customFormat="1" ht="30" customHeight="1" collapsed="1" x14ac:dyDescent="0.4">
      <c r="A734" s="24">
        <f>A723+1</f>
        <v>310</v>
      </c>
      <c r="B734" s="25" t="s">
        <v>316</v>
      </c>
      <c r="C734" s="89" t="s">
        <v>132</v>
      </c>
      <c r="D734" s="96">
        <v>10</v>
      </c>
      <c r="E734" s="98"/>
      <c r="F734" s="57"/>
      <c r="O734" s="58" t="s">
        <v>442</v>
      </c>
    </row>
    <row r="735" spans="1:28" s="58" customFormat="1" ht="30" hidden="1" customHeight="1" outlineLevel="1" x14ac:dyDescent="0.4">
      <c r="A735" s="87"/>
      <c r="B735" s="48" t="s">
        <v>317</v>
      </c>
      <c r="C735" s="75" t="s">
        <v>132</v>
      </c>
      <c r="D735" s="74">
        <v>10</v>
      </c>
      <c r="E735" s="93"/>
      <c r="F735" s="57"/>
    </row>
    <row r="736" spans="1:28" s="58" customFormat="1" ht="30" customHeight="1" collapsed="1" x14ac:dyDescent="0.4">
      <c r="A736" s="24">
        <f>A734+1</f>
        <v>311</v>
      </c>
      <c r="B736" s="25" t="s">
        <v>284</v>
      </c>
      <c r="C736" s="89" t="s">
        <v>132</v>
      </c>
      <c r="D736" s="90">
        <v>22</v>
      </c>
      <c r="E736" s="91"/>
      <c r="F736" s="57"/>
    </row>
    <row r="737" spans="1:28" s="58" customFormat="1" ht="30" hidden="1" customHeight="1" outlineLevel="1" x14ac:dyDescent="0.4">
      <c r="A737" s="87"/>
      <c r="B737" s="48" t="s">
        <v>342</v>
      </c>
      <c r="C737" s="75" t="s">
        <v>132</v>
      </c>
      <c r="D737" s="74">
        <v>22</v>
      </c>
      <c r="E737" s="88"/>
      <c r="F737" s="57"/>
    </row>
    <row r="738" spans="1:28" s="58" customFormat="1" ht="30" hidden="1" customHeight="1" outlineLevel="1" x14ac:dyDescent="0.4">
      <c r="A738" s="87"/>
      <c r="B738" s="48" t="s">
        <v>344</v>
      </c>
      <c r="C738" s="75" t="s">
        <v>132</v>
      </c>
      <c r="D738" s="74">
        <v>22</v>
      </c>
      <c r="E738" s="88"/>
      <c r="F738" s="57"/>
    </row>
    <row r="739" spans="1:28" s="39" customFormat="1" ht="30" customHeight="1" collapsed="1" x14ac:dyDescent="0.35">
      <c r="A739" s="153" t="s">
        <v>443</v>
      </c>
      <c r="B739" s="153"/>
      <c r="C739" s="153"/>
      <c r="D739" s="153"/>
      <c r="E739" s="153"/>
      <c r="F739" s="34"/>
      <c r="G739" s="35"/>
      <c r="H739" s="36"/>
      <c r="I739" s="37"/>
      <c r="J739" s="37"/>
      <c r="K739" s="38"/>
      <c r="L739" s="38"/>
      <c r="M739" s="38"/>
      <c r="N739" s="36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</row>
    <row r="740" spans="1:28" s="39" customFormat="1" ht="21" customHeight="1" x14ac:dyDescent="0.35">
      <c r="A740" s="158" t="s">
        <v>444</v>
      </c>
      <c r="B740" s="158"/>
      <c r="C740" s="158"/>
      <c r="D740" s="158"/>
      <c r="E740" s="158"/>
      <c r="F740" s="34"/>
      <c r="G740" s="35"/>
      <c r="H740" s="36"/>
      <c r="I740" s="37"/>
      <c r="J740" s="37"/>
      <c r="K740" s="38"/>
      <c r="L740" s="38"/>
      <c r="M740" s="38"/>
      <c r="N740" s="36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</row>
    <row r="741" spans="1:28" s="58" customFormat="1" ht="30" customHeight="1" x14ac:dyDescent="0.4">
      <c r="A741" s="24">
        <f>A736+1</f>
        <v>312</v>
      </c>
      <c r="B741" s="83" t="s">
        <v>385</v>
      </c>
      <c r="C741" s="84" t="s">
        <v>55</v>
      </c>
      <c r="D741" s="85" t="s">
        <v>445</v>
      </c>
      <c r="E741" s="66"/>
      <c r="F741" s="57"/>
    </row>
    <row r="742" spans="1:28" s="58" customFormat="1" ht="30" customHeight="1" x14ac:dyDescent="0.4">
      <c r="A742" s="24">
        <f>A741+1</f>
        <v>313</v>
      </c>
      <c r="B742" s="83" t="s">
        <v>387</v>
      </c>
      <c r="C742" s="84" t="s">
        <v>19</v>
      </c>
      <c r="D742" s="85">
        <f>10*12*0.2</f>
        <v>24</v>
      </c>
      <c r="E742" s="66"/>
      <c r="F742" s="57"/>
    </row>
    <row r="743" spans="1:28" s="58" customFormat="1" ht="30" customHeight="1" x14ac:dyDescent="0.4">
      <c r="A743" s="24">
        <f t="shared" ref="A743:A744" si="3">A742+1</f>
        <v>314</v>
      </c>
      <c r="B743" s="83" t="s">
        <v>388</v>
      </c>
      <c r="C743" s="84" t="s">
        <v>29</v>
      </c>
      <c r="D743" s="85">
        <f>10*12</f>
        <v>120</v>
      </c>
      <c r="E743" s="66"/>
      <c r="F743" s="57"/>
    </row>
    <row r="744" spans="1:28" s="58" customFormat="1" ht="30" customHeight="1" x14ac:dyDescent="0.4">
      <c r="A744" s="24">
        <f t="shared" si="3"/>
        <v>315</v>
      </c>
      <c r="B744" s="83" t="s">
        <v>136</v>
      </c>
      <c r="C744" s="84" t="s">
        <v>19</v>
      </c>
      <c r="D744" s="85">
        <v>14.45</v>
      </c>
      <c r="E744" s="66"/>
      <c r="F744" s="57"/>
    </row>
    <row r="745" spans="1:28" s="58" customFormat="1" ht="30" hidden="1" customHeight="1" outlineLevel="1" x14ac:dyDescent="0.4">
      <c r="A745" s="87"/>
      <c r="B745" s="48" t="s">
        <v>134</v>
      </c>
      <c r="C745" s="75" t="s">
        <v>19</v>
      </c>
      <c r="D745" s="63">
        <f>14.45</f>
        <v>14.45</v>
      </c>
      <c r="E745" s="88"/>
      <c r="F745" s="57"/>
    </row>
    <row r="746" spans="1:28" s="58" customFormat="1" ht="30" customHeight="1" collapsed="1" x14ac:dyDescent="0.4">
      <c r="A746" s="24">
        <f>A744+1</f>
        <v>316</v>
      </c>
      <c r="B746" s="83" t="s">
        <v>389</v>
      </c>
      <c r="C746" s="84" t="s">
        <v>19</v>
      </c>
      <c r="D746" s="85">
        <v>48.46</v>
      </c>
      <c r="E746" s="66"/>
      <c r="F746" s="57"/>
    </row>
    <row r="747" spans="1:28" s="58" customFormat="1" ht="30" hidden="1" customHeight="1" outlineLevel="1" x14ac:dyDescent="0.4">
      <c r="A747" s="54"/>
      <c r="B747" s="48" t="s">
        <v>390</v>
      </c>
      <c r="C747" s="49" t="s">
        <v>14</v>
      </c>
      <c r="D747" s="68">
        <f>((186*7.19)+(88*16.47))/1000</f>
        <v>2.7866999999999997</v>
      </c>
      <c r="E747" s="56">
        <v>2.8</v>
      </c>
      <c r="F747" s="57"/>
    </row>
    <row r="748" spans="1:28" s="58" customFormat="1" ht="30" hidden="1" customHeight="1" outlineLevel="1" x14ac:dyDescent="0.4">
      <c r="A748" s="54"/>
      <c r="B748" s="48" t="s">
        <v>391</v>
      </c>
      <c r="C748" s="49" t="s">
        <v>14</v>
      </c>
      <c r="D748" s="81">
        <f>((274*0.65)+(274*0.41)+(180*0.41))/1000</f>
        <v>0.36424000000000001</v>
      </c>
      <c r="E748" s="103">
        <v>0.36</v>
      </c>
      <c r="F748" s="57"/>
    </row>
    <row r="749" spans="1:28" s="58" customFormat="1" ht="30" hidden="1" customHeight="1" outlineLevel="1" x14ac:dyDescent="0.4">
      <c r="A749" s="87"/>
      <c r="B749" s="48" t="s">
        <v>65</v>
      </c>
      <c r="C749" s="75" t="s">
        <v>19</v>
      </c>
      <c r="D749" s="63">
        <f>48.46</f>
        <v>48.46</v>
      </c>
      <c r="E749" s="88"/>
      <c r="F749" s="57"/>
    </row>
    <row r="750" spans="1:28" s="58" customFormat="1" ht="30" customHeight="1" collapsed="1" x14ac:dyDescent="0.4">
      <c r="A750" s="24">
        <f>A746+1</f>
        <v>317</v>
      </c>
      <c r="B750" s="83" t="s">
        <v>392</v>
      </c>
      <c r="C750" s="84" t="s">
        <v>19</v>
      </c>
      <c r="D750" s="85">
        <v>17.2</v>
      </c>
      <c r="E750" s="66"/>
      <c r="F750" s="57"/>
    </row>
    <row r="751" spans="1:28" s="58" customFormat="1" ht="30" hidden="1" customHeight="1" outlineLevel="1" x14ac:dyDescent="0.4">
      <c r="A751" s="87"/>
      <c r="B751" s="48" t="s">
        <v>65</v>
      </c>
      <c r="C751" s="75" t="s">
        <v>19</v>
      </c>
      <c r="D751" s="63">
        <f>17.2</f>
        <v>17.2</v>
      </c>
      <c r="E751" s="88"/>
      <c r="F751" s="57"/>
    </row>
    <row r="752" spans="1:28" s="39" customFormat="1" ht="21" customHeight="1" collapsed="1" x14ac:dyDescent="0.35">
      <c r="A752" s="158" t="s">
        <v>446</v>
      </c>
      <c r="B752" s="158"/>
      <c r="C752" s="158"/>
      <c r="D752" s="158"/>
      <c r="E752" s="158"/>
      <c r="F752" s="34"/>
      <c r="G752" s="35"/>
      <c r="H752" s="36"/>
      <c r="I752" s="37"/>
      <c r="J752" s="37"/>
      <c r="K752" s="38"/>
      <c r="L752" s="38"/>
      <c r="M752" s="38"/>
      <c r="N752" s="36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</row>
    <row r="753" spans="1:28" ht="36" customHeight="1" x14ac:dyDescent="0.35">
      <c r="A753" s="24">
        <f>A750+1</f>
        <v>318</v>
      </c>
      <c r="B753" s="59" t="s">
        <v>72</v>
      </c>
      <c r="C753" s="26" t="s">
        <v>29</v>
      </c>
      <c r="D753" s="67">
        <v>1.93</v>
      </c>
      <c r="E753" s="41"/>
      <c r="F753" s="42"/>
    </row>
    <row r="754" spans="1:28" s="58" customFormat="1" ht="30" hidden="1" customHeight="1" outlineLevel="1" x14ac:dyDescent="0.4">
      <c r="A754" s="54"/>
      <c r="B754" s="48" t="s">
        <v>73</v>
      </c>
      <c r="C754" s="49" t="s">
        <v>74</v>
      </c>
      <c r="D754" s="68">
        <f>3.31*D753</f>
        <v>6.3883000000000001</v>
      </c>
      <c r="E754" s="69">
        <v>6.0000000000000001E-3</v>
      </c>
      <c r="F754" s="57"/>
    </row>
    <row r="755" spans="1:28" ht="36" customHeight="1" collapsed="1" x14ac:dyDescent="0.35">
      <c r="A755" s="24">
        <f>A753+1</f>
        <v>319</v>
      </c>
      <c r="B755" s="59" t="s">
        <v>75</v>
      </c>
      <c r="C755" s="26" t="s">
        <v>29</v>
      </c>
      <c r="D755" s="67">
        <v>1.93</v>
      </c>
      <c r="E755" s="41"/>
      <c r="F755" s="42"/>
    </row>
    <row r="756" spans="1:28" ht="36" customHeight="1" x14ac:dyDescent="0.35">
      <c r="A756" s="24">
        <f>A755+1</f>
        <v>320</v>
      </c>
      <c r="B756" s="59" t="s">
        <v>76</v>
      </c>
      <c r="C756" s="26" t="s">
        <v>29</v>
      </c>
      <c r="D756" s="67">
        <v>1.93</v>
      </c>
      <c r="E756" s="41"/>
      <c r="F756" s="42"/>
    </row>
    <row r="757" spans="1:28" s="58" customFormat="1" ht="30" customHeight="1" x14ac:dyDescent="0.4">
      <c r="A757" s="24">
        <f>A756+1</f>
        <v>321</v>
      </c>
      <c r="B757" s="59" t="s">
        <v>77</v>
      </c>
      <c r="C757" s="70" t="s">
        <v>29</v>
      </c>
      <c r="D757" s="67">
        <v>1.93</v>
      </c>
      <c r="E757" s="66"/>
      <c r="F757" s="57"/>
    </row>
    <row r="758" spans="1:28" s="58" customFormat="1" ht="30" hidden="1" customHeight="1" outlineLevel="1" x14ac:dyDescent="0.4">
      <c r="A758" s="54"/>
      <c r="B758" s="48" t="s">
        <v>78</v>
      </c>
      <c r="C758" s="49" t="s">
        <v>74</v>
      </c>
      <c r="D758" s="68">
        <f>D757*0.255</f>
        <v>0.49214999999999998</v>
      </c>
      <c r="E758" s="69">
        <v>1E-3</v>
      </c>
      <c r="F758" s="57"/>
    </row>
    <row r="759" spans="1:28" s="58" customFormat="1" ht="30" customHeight="1" collapsed="1" x14ac:dyDescent="0.4">
      <c r="A759" s="24">
        <f>A757+1</f>
        <v>322</v>
      </c>
      <c r="B759" s="59" t="s">
        <v>79</v>
      </c>
      <c r="C759" s="70" t="s">
        <v>29</v>
      </c>
      <c r="D759" s="67">
        <v>1.93</v>
      </c>
      <c r="E759" s="66"/>
      <c r="F759" s="57"/>
    </row>
    <row r="760" spans="1:28" s="58" customFormat="1" ht="30" hidden="1" customHeight="1" outlineLevel="1" x14ac:dyDescent="0.4">
      <c r="A760" s="54"/>
      <c r="B760" s="48" t="s">
        <v>80</v>
      </c>
      <c r="C760" s="49" t="s">
        <v>74</v>
      </c>
      <c r="D760" s="68">
        <f>D759*0.36*2</f>
        <v>1.3895999999999999</v>
      </c>
      <c r="E760" s="69">
        <v>1E-3</v>
      </c>
      <c r="F760" s="57"/>
    </row>
    <row r="761" spans="1:28" s="58" customFormat="1" ht="46.3" collapsed="1" x14ac:dyDescent="0.4">
      <c r="A761" s="24">
        <f>A759+1</f>
        <v>323</v>
      </c>
      <c r="B761" s="59" t="s">
        <v>364</v>
      </c>
      <c r="C761" s="70" t="s">
        <v>19</v>
      </c>
      <c r="D761" s="67">
        <v>0.2</v>
      </c>
      <c r="E761" s="66"/>
      <c r="F761" s="57"/>
    </row>
    <row r="762" spans="1:28" s="58" customFormat="1" ht="30.9" hidden="1" outlineLevel="1" x14ac:dyDescent="0.4">
      <c r="A762" s="54"/>
      <c r="B762" s="48" t="s">
        <v>365</v>
      </c>
      <c r="C762" s="49" t="s">
        <v>19</v>
      </c>
      <c r="D762" s="68">
        <v>0.2</v>
      </c>
      <c r="E762" s="69">
        <v>1E-3</v>
      </c>
      <c r="F762" s="57"/>
      <c r="J762" s="58">
        <v>1.08</v>
      </c>
    </row>
    <row r="763" spans="1:28" s="58" customFormat="1" ht="30" customHeight="1" collapsed="1" x14ac:dyDescent="0.4">
      <c r="A763" s="24">
        <f>A761+1</f>
        <v>324</v>
      </c>
      <c r="B763" s="59" t="s">
        <v>366</v>
      </c>
      <c r="C763" s="70" t="s">
        <v>29</v>
      </c>
      <c r="D763" s="67">
        <v>3.2</v>
      </c>
      <c r="E763" s="66"/>
      <c r="F763" s="57"/>
    </row>
    <row r="764" spans="1:28" s="58" customFormat="1" ht="30" hidden="1" customHeight="1" outlineLevel="1" x14ac:dyDescent="0.4">
      <c r="A764" s="54"/>
      <c r="B764" s="48" t="s">
        <v>367</v>
      </c>
      <c r="C764" s="49" t="s">
        <v>29</v>
      </c>
      <c r="D764" s="68">
        <v>3.2</v>
      </c>
      <c r="E764" s="69"/>
      <c r="F764" s="57"/>
      <c r="J764" s="58">
        <v>1.22</v>
      </c>
    </row>
    <row r="765" spans="1:28" s="39" customFormat="1" ht="21" customHeight="1" collapsed="1" x14ac:dyDescent="0.35">
      <c r="A765" s="158" t="s">
        <v>447</v>
      </c>
      <c r="B765" s="158"/>
      <c r="C765" s="158"/>
      <c r="D765" s="158"/>
      <c r="E765" s="158"/>
      <c r="F765" s="34"/>
      <c r="G765" s="35"/>
      <c r="H765" s="36"/>
      <c r="I765" s="37"/>
      <c r="J765" s="37"/>
      <c r="K765" s="38"/>
      <c r="L765" s="38"/>
      <c r="M765" s="38"/>
      <c r="N765" s="36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</row>
    <row r="766" spans="1:28" ht="36" customHeight="1" x14ac:dyDescent="0.35">
      <c r="A766" s="24">
        <f>A763+1</f>
        <v>325</v>
      </c>
      <c r="B766" s="59" t="s">
        <v>405</v>
      </c>
      <c r="C766" s="26" t="s">
        <v>58</v>
      </c>
      <c r="D766" s="82">
        <v>4</v>
      </c>
      <c r="E766" s="41"/>
      <c r="F766" s="42"/>
    </row>
    <row r="767" spans="1:28" s="58" customFormat="1" ht="30" hidden="1" customHeight="1" outlineLevel="1" x14ac:dyDescent="0.4">
      <c r="A767" s="54"/>
      <c r="B767" s="48" t="s">
        <v>406</v>
      </c>
      <c r="C767" s="49" t="s">
        <v>14</v>
      </c>
      <c r="D767" s="65">
        <f>20*1.58/1000</f>
        <v>3.1600000000000003E-2</v>
      </c>
      <c r="E767" s="51"/>
      <c r="F767" s="57"/>
    </row>
    <row r="768" spans="1:28" s="58" customFormat="1" ht="30" customHeight="1" collapsed="1" x14ac:dyDescent="0.4">
      <c r="A768" s="24">
        <f>A766+1</f>
        <v>326</v>
      </c>
      <c r="B768" s="71" t="s">
        <v>315</v>
      </c>
      <c r="C768" s="40" t="s">
        <v>132</v>
      </c>
      <c r="D768" s="82">
        <v>36</v>
      </c>
      <c r="E768" s="66"/>
      <c r="F768" s="57"/>
    </row>
    <row r="769" spans="1:28" s="58" customFormat="1" ht="30" hidden="1" customHeight="1" outlineLevel="1" x14ac:dyDescent="0.4">
      <c r="A769" s="87"/>
      <c r="B769" s="48" t="s">
        <v>314</v>
      </c>
      <c r="C769" s="75" t="s">
        <v>14</v>
      </c>
      <c r="D769" s="65">
        <f>36*1.26/1000</f>
        <v>4.5359999999999998E-2</v>
      </c>
      <c r="E769" s="88"/>
      <c r="F769" s="57"/>
    </row>
    <row r="770" spans="1:28" ht="36" customHeight="1" collapsed="1" x14ac:dyDescent="0.35">
      <c r="A770" s="24">
        <f>A768+1</f>
        <v>327</v>
      </c>
      <c r="B770" s="59" t="s">
        <v>316</v>
      </c>
      <c r="C770" s="26" t="s">
        <v>132</v>
      </c>
      <c r="D770" s="82">
        <v>10</v>
      </c>
      <c r="E770" s="41"/>
      <c r="F770" s="42"/>
    </row>
    <row r="771" spans="1:28" s="58" customFormat="1" ht="30" hidden="1" customHeight="1" outlineLevel="1" x14ac:dyDescent="0.4">
      <c r="A771" s="54"/>
      <c r="B771" s="48" t="s">
        <v>407</v>
      </c>
      <c r="C771" s="49" t="s">
        <v>132</v>
      </c>
      <c r="D771" s="55">
        <v>10</v>
      </c>
      <c r="E771" s="51"/>
      <c r="F771" s="57"/>
    </row>
    <row r="772" spans="1:28" s="58" customFormat="1" ht="30" hidden="1" customHeight="1" outlineLevel="1" x14ac:dyDescent="0.4">
      <c r="A772" s="54"/>
      <c r="B772" s="48" t="s">
        <v>448</v>
      </c>
      <c r="C772" s="49" t="s">
        <v>58</v>
      </c>
      <c r="D772" s="55">
        <v>20</v>
      </c>
      <c r="E772" s="51"/>
      <c r="F772" s="57"/>
    </row>
    <row r="773" spans="1:28" s="58" customFormat="1" ht="30" hidden="1" customHeight="1" outlineLevel="1" x14ac:dyDescent="0.4">
      <c r="A773" s="54"/>
      <c r="B773" s="48" t="s">
        <v>449</v>
      </c>
      <c r="C773" s="49" t="s">
        <v>58</v>
      </c>
      <c r="D773" s="55">
        <v>20</v>
      </c>
      <c r="E773" s="51"/>
      <c r="F773" s="57"/>
    </row>
    <row r="774" spans="1:28" s="58" customFormat="1" ht="16.5" hidden="1" customHeight="1" outlineLevel="1" x14ac:dyDescent="0.4">
      <c r="A774" s="54"/>
      <c r="B774" s="48" t="s">
        <v>410</v>
      </c>
      <c r="C774" s="49" t="s">
        <v>58</v>
      </c>
      <c r="D774" s="55">
        <v>20</v>
      </c>
      <c r="E774" s="51"/>
      <c r="F774" s="57"/>
    </row>
    <row r="775" spans="1:28" s="58" customFormat="1" ht="16.5" hidden="1" customHeight="1" outlineLevel="1" x14ac:dyDescent="0.4">
      <c r="A775" s="54"/>
      <c r="B775" s="48" t="s">
        <v>411</v>
      </c>
      <c r="C775" s="49" t="s">
        <v>58</v>
      </c>
      <c r="D775" s="55">
        <v>40</v>
      </c>
      <c r="E775" s="51"/>
      <c r="F775" s="57"/>
    </row>
    <row r="776" spans="1:28" s="33" customFormat="1" ht="31" customHeight="1" collapsed="1" x14ac:dyDescent="0.35">
      <c r="A776" s="24">
        <f>A770+1</f>
        <v>328</v>
      </c>
      <c r="B776" s="25" t="s">
        <v>450</v>
      </c>
      <c r="C776" s="26" t="s">
        <v>58</v>
      </c>
      <c r="D776" s="40">
        <v>3</v>
      </c>
      <c r="E776" s="28"/>
      <c r="F776" s="29"/>
      <c r="G776" s="30"/>
      <c r="H776" s="31"/>
      <c r="I776" s="30"/>
      <c r="J776" s="30"/>
      <c r="K776" s="32"/>
      <c r="L776" s="32"/>
      <c r="M776" s="32"/>
      <c r="N776" s="31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</row>
    <row r="777" spans="1:28" s="39" customFormat="1" ht="36" customHeight="1" x14ac:dyDescent="0.35">
      <c r="A777" s="24">
        <f>A776+1</f>
        <v>329</v>
      </c>
      <c r="B777" s="25" t="s">
        <v>451</v>
      </c>
      <c r="C777" s="26" t="s">
        <v>452</v>
      </c>
      <c r="D777" s="40">
        <v>2</v>
      </c>
      <c r="E777" s="64"/>
      <c r="F777" s="34"/>
      <c r="G777" s="35"/>
      <c r="H777" s="36"/>
      <c r="I777" s="37"/>
      <c r="J777" s="37"/>
      <c r="K777" s="38"/>
      <c r="L777" s="38"/>
      <c r="M777" s="38"/>
      <c r="N777" s="36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</row>
    <row r="778" spans="1:28" s="39" customFormat="1" ht="21" customHeight="1" x14ac:dyDescent="0.35">
      <c r="A778" s="158" t="s">
        <v>453</v>
      </c>
      <c r="B778" s="158"/>
      <c r="C778" s="158"/>
      <c r="D778" s="158"/>
      <c r="E778" s="158"/>
      <c r="F778" s="34"/>
      <c r="G778" s="35"/>
      <c r="H778" s="36"/>
      <c r="I778" s="37"/>
      <c r="J778" s="37"/>
      <c r="K778" s="38"/>
      <c r="L778" s="38"/>
      <c r="M778" s="38"/>
      <c r="N778" s="36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</row>
    <row r="779" spans="1:28" s="58" customFormat="1" ht="30" customHeight="1" x14ac:dyDescent="0.4">
      <c r="A779" s="24">
        <f>A777+1</f>
        <v>330</v>
      </c>
      <c r="B779" s="25" t="s">
        <v>431</v>
      </c>
      <c r="C779" s="89" t="s">
        <v>132</v>
      </c>
      <c r="D779" s="90">
        <v>672</v>
      </c>
      <c r="E779" s="91"/>
      <c r="F779" s="57"/>
    </row>
    <row r="780" spans="1:28" s="58" customFormat="1" ht="30" hidden="1" customHeight="1" outlineLevel="1" x14ac:dyDescent="0.4">
      <c r="A780" s="87"/>
      <c r="B780" s="48" t="s">
        <v>454</v>
      </c>
      <c r="C780" s="75" t="s">
        <v>132</v>
      </c>
      <c r="D780" s="74">
        <v>220</v>
      </c>
      <c r="E780" s="88">
        <v>0.22</v>
      </c>
      <c r="F780" s="57"/>
    </row>
    <row r="781" spans="1:28" s="58" customFormat="1" ht="30" hidden="1" customHeight="1" outlineLevel="1" x14ac:dyDescent="0.4">
      <c r="A781" s="87"/>
      <c r="B781" s="48" t="s">
        <v>455</v>
      </c>
      <c r="C781" s="75" t="s">
        <v>132</v>
      </c>
      <c r="D781" s="74">
        <v>10</v>
      </c>
      <c r="E781" s="88">
        <v>0.01</v>
      </c>
      <c r="F781" s="57"/>
    </row>
    <row r="782" spans="1:28" s="58" customFormat="1" ht="30" hidden="1" customHeight="1" outlineLevel="1" x14ac:dyDescent="0.4">
      <c r="A782" s="87"/>
      <c r="B782" s="48" t="s">
        <v>456</v>
      </c>
      <c r="C782" s="75" t="s">
        <v>132</v>
      </c>
      <c r="D782" s="74">
        <v>2</v>
      </c>
      <c r="E782" s="88">
        <v>2E-3</v>
      </c>
      <c r="F782" s="57"/>
    </row>
    <row r="783" spans="1:28" s="58" customFormat="1" ht="30" hidden="1" customHeight="1" outlineLevel="1" x14ac:dyDescent="0.4">
      <c r="A783" s="87"/>
      <c r="B783" s="48" t="s">
        <v>457</v>
      </c>
      <c r="C783" s="75" t="s">
        <v>132</v>
      </c>
      <c r="D783" s="74">
        <v>440</v>
      </c>
      <c r="E783" s="88">
        <v>0.44</v>
      </c>
      <c r="F783" s="57"/>
    </row>
    <row r="784" spans="1:28" s="58" customFormat="1" ht="30" hidden="1" customHeight="1" outlineLevel="1" x14ac:dyDescent="0.4">
      <c r="A784" s="87"/>
      <c r="B784" s="48" t="s">
        <v>441</v>
      </c>
      <c r="C784" s="75" t="s">
        <v>58</v>
      </c>
      <c r="D784" s="74">
        <v>10</v>
      </c>
      <c r="E784" s="88"/>
      <c r="F784" s="57"/>
    </row>
    <row r="785" spans="1:28" s="58" customFormat="1" ht="30" customHeight="1" collapsed="1" x14ac:dyDescent="0.4">
      <c r="A785" s="24">
        <f>A779+1</f>
        <v>331</v>
      </c>
      <c r="B785" s="25" t="s">
        <v>316</v>
      </c>
      <c r="C785" s="89" t="s">
        <v>132</v>
      </c>
      <c r="D785" s="96">
        <v>10</v>
      </c>
      <c r="E785" s="98"/>
      <c r="F785" s="57"/>
      <c r="O785" s="58" t="s">
        <v>442</v>
      </c>
    </row>
    <row r="786" spans="1:28" s="58" customFormat="1" ht="30" hidden="1" customHeight="1" outlineLevel="1" x14ac:dyDescent="0.4">
      <c r="A786" s="87"/>
      <c r="B786" s="48" t="s">
        <v>317</v>
      </c>
      <c r="C786" s="75" t="s">
        <v>132</v>
      </c>
      <c r="D786" s="74">
        <v>10</v>
      </c>
      <c r="E786" s="93"/>
      <c r="F786" s="57"/>
    </row>
    <row r="787" spans="1:28" s="58" customFormat="1" ht="30" customHeight="1" collapsed="1" x14ac:dyDescent="0.4">
      <c r="A787" s="24">
        <f>A785+1</f>
        <v>332</v>
      </c>
      <c r="B787" s="25" t="s">
        <v>284</v>
      </c>
      <c r="C787" s="89" t="s">
        <v>132</v>
      </c>
      <c r="D787" s="90">
        <v>10</v>
      </c>
      <c r="E787" s="91"/>
      <c r="F787" s="57"/>
    </row>
    <row r="788" spans="1:28" s="58" customFormat="1" ht="30" hidden="1" customHeight="1" outlineLevel="1" x14ac:dyDescent="0.4">
      <c r="A788" s="87"/>
      <c r="B788" s="48" t="s">
        <v>342</v>
      </c>
      <c r="C788" s="75" t="s">
        <v>132</v>
      </c>
      <c r="D788" s="74">
        <v>10</v>
      </c>
      <c r="E788" s="88"/>
      <c r="F788" s="57"/>
    </row>
    <row r="789" spans="1:28" s="58" customFormat="1" ht="30" hidden="1" customHeight="1" outlineLevel="1" x14ac:dyDescent="0.4">
      <c r="A789" s="87"/>
      <c r="B789" s="48" t="s">
        <v>343</v>
      </c>
      <c r="C789" s="75" t="s">
        <v>132</v>
      </c>
      <c r="D789" s="74">
        <v>4</v>
      </c>
      <c r="E789" s="88"/>
      <c r="F789" s="57"/>
    </row>
    <row r="790" spans="1:28" s="58" customFormat="1" ht="30" hidden="1" customHeight="1" outlineLevel="1" x14ac:dyDescent="0.4">
      <c r="A790" s="87"/>
      <c r="B790" s="48" t="s">
        <v>344</v>
      </c>
      <c r="C790" s="75" t="s">
        <v>132</v>
      </c>
      <c r="D790" s="74">
        <v>3</v>
      </c>
      <c r="E790" s="88"/>
      <c r="F790" s="57"/>
    </row>
    <row r="791" spans="1:28" s="58" customFormat="1" ht="30" customHeight="1" collapsed="1" x14ac:dyDescent="0.4">
      <c r="A791" s="24">
        <f>A787+1</f>
        <v>333</v>
      </c>
      <c r="B791" s="25" t="s">
        <v>340</v>
      </c>
      <c r="C791" s="89" t="s">
        <v>132</v>
      </c>
      <c r="D791" s="90">
        <v>10</v>
      </c>
      <c r="E791" s="99"/>
      <c r="F791" s="57"/>
    </row>
    <row r="792" spans="1:28" s="58" customFormat="1" ht="30" hidden="1" customHeight="1" outlineLevel="1" x14ac:dyDescent="0.4">
      <c r="A792" s="87"/>
      <c r="B792" s="48" t="s">
        <v>341</v>
      </c>
      <c r="C792" s="75" t="s">
        <v>14</v>
      </c>
      <c r="D792" s="74">
        <v>0.02</v>
      </c>
      <c r="E792" s="88">
        <v>0.02</v>
      </c>
      <c r="F792" s="57"/>
    </row>
    <row r="793" spans="1:28" s="39" customFormat="1" ht="30" customHeight="1" collapsed="1" x14ac:dyDescent="0.35">
      <c r="A793" s="153" t="s">
        <v>458</v>
      </c>
      <c r="B793" s="153"/>
      <c r="C793" s="153"/>
      <c r="D793" s="153"/>
      <c r="E793" s="153"/>
      <c r="F793" s="34"/>
      <c r="G793" s="35"/>
      <c r="H793" s="36"/>
      <c r="I793" s="37"/>
      <c r="J793" s="37"/>
      <c r="K793" s="38"/>
      <c r="L793" s="38"/>
      <c r="M793" s="38"/>
      <c r="N793" s="36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</row>
    <row r="794" spans="1:28" s="39" customFormat="1" ht="21" customHeight="1" x14ac:dyDescent="0.35">
      <c r="A794" s="158" t="s">
        <v>459</v>
      </c>
      <c r="B794" s="158"/>
      <c r="C794" s="158"/>
      <c r="D794" s="158"/>
      <c r="E794" s="158"/>
      <c r="F794" s="34"/>
      <c r="G794" s="35"/>
      <c r="H794" s="36"/>
      <c r="I794" s="37"/>
      <c r="J794" s="37"/>
      <c r="K794" s="38"/>
      <c r="L794" s="38"/>
      <c r="M794" s="38"/>
      <c r="N794" s="36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</row>
    <row r="795" spans="1:28" ht="30" customHeight="1" x14ac:dyDescent="0.35">
      <c r="A795" s="24">
        <f>A791+1</f>
        <v>334</v>
      </c>
      <c r="B795" s="25" t="s">
        <v>131</v>
      </c>
      <c r="C795" s="26" t="s">
        <v>274</v>
      </c>
      <c r="D795" s="73" t="s">
        <v>460</v>
      </c>
      <c r="E795" s="41"/>
      <c r="F795" s="42"/>
    </row>
    <row r="796" spans="1:28" ht="31" hidden="1" customHeight="1" outlineLevel="1" x14ac:dyDescent="0.35">
      <c r="A796" s="47"/>
      <c r="B796" s="48" t="s">
        <v>133</v>
      </c>
      <c r="C796" s="49" t="s">
        <v>58</v>
      </c>
      <c r="D796" s="55">
        <v>94</v>
      </c>
      <c r="E796" s="56">
        <v>9.4</v>
      </c>
      <c r="F796" s="42"/>
    </row>
    <row r="797" spans="1:28" ht="31" hidden="1" customHeight="1" outlineLevel="1" x14ac:dyDescent="0.35">
      <c r="A797" s="74"/>
      <c r="B797" s="48" t="s">
        <v>134</v>
      </c>
      <c r="C797" s="49" t="s">
        <v>19</v>
      </c>
      <c r="D797" s="68">
        <f>4.74</f>
        <v>4.74</v>
      </c>
      <c r="E797" s="69"/>
      <c r="F797" s="42"/>
    </row>
    <row r="798" spans="1:28" ht="30" customHeight="1" collapsed="1" x14ac:dyDescent="0.35">
      <c r="A798" s="24">
        <f>A795+1</f>
        <v>335</v>
      </c>
      <c r="B798" s="25" t="s">
        <v>51</v>
      </c>
      <c r="C798" s="26" t="s">
        <v>19</v>
      </c>
      <c r="D798" s="40">
        <v>153.80000000000001</v>
      </c>
      <c r="E798" s="41"/>
      <c r="F798" s="42"/>
    </row>
    <row r="799" spans="1:28" ht="31" hidden="1" customHeight="1" outlineLevel="1" x14ac:dyDescent="0.35">
      <c r="A799" s="47"/>
      <c r="B799" s="48" t="s">
        <v>52</v>
      </c>
      <c r="C799" s="49" t="s">
        <v>19</v>
      </c>
      <c r="D799" s="50">
        <f>153.8</f>
        <v>153.80000000000001</v>
      </c>
      <c r="E799" s="51"/>
      <c r="F799" s="42"/>
    </row>
    <row r="800" spans="1:28" s="58" customFormat="1" ht="30" customHeight="1" collapsed="1" x14ac:dyDescent="0.4">
      <c r="A800" s="24">
        <f>A798+1</f>
        <v>336</v>
      </c>
      <c r="B800" s="83" t="s">
        <v>389</v>
      </c>
      <c r="C800" s="84" t="s">
        <v>19</v>
      </c>
      <c r="D800" s="85">
        <v>77.2</v>
      </c>
      <c r="E800" s="66"/>
      <c r="F800" s="57"/>
    </row>
    <row r="801" spans="1:28" s="58" customFormat="1" ht="30" hidden="1" customHeight="1" outlineLevel="1" x14ac:dyDescent="0.4">
      <c r="A801" s="54"/>
      <c r="B801" s="48" t="s">
        <v>461</v>
      </c>
      <c r="C801" s="49" t="s">
        <v>14</v>
      </c>
      <c r="D801" s="68">
        <f>6*262.72/1000</f>
        <v>1.5763200000000002</v>
      </c>
      <c r="E801" s="56">
        <v>1.6</v>
      </c>
      <c r="F801" s="57"/>
    </row>
    <row r="802" spans="1:28" ht="31" hidden="1" customHeight="1" outlineLevel="1" x14ac:dyDescent="0.35">
      <c r="A802" s="74"/>
      <c r="B802" s="48" t="s">
        <v>65</v>
      </c>
      <c r="C802" s="49" t="s">
        <v>19</v>
      </c>
      <c r="D802" s="68">
        <f>77.2</f>
        <v>77.2</v>
      </c>
      <c r="E802" s="69"/>
      <c r="F802" s="42"/>
    </row>
    <row r="803" spans="1:28" s="58" customFormat="1" ht="30" customHeight="1" collapsed="1" x14ac:dyDescent="0.4">
      <c r="A803" s="24">
        <f>A800+1</f>
        <v>337</v>
      </c>
      <c r="B803" s="83" t="s">
        <v>462</v>
      </c>
      <c r="C803" s="84" t="s">
        <v>132</v>
      </c>
      <c r="D803" s="85">
        <v>18.399999999999999</v>
      </c>
      <c r="E803" s="66"/>
      <c r="F803" s="57"/>
    </row>
    <row r="804" spans="1:28" s="58" customFormat="1" ht="30" customHeight="1" x14ac:dyDescent="0.4">
      <c r="A804" s="24">
        <f>A803+1</f>
        <v>338</v>
      </c>
      <c r="B804" s="83" t="s">
        <v>463</v>
      </c>
      <c r="C804" s="84" t="s">
        <v>132</v>
      </c>
      <c r="D804" s="85">
        <v>19.600000000000001</v>
      </c>
      <c r="E804" s="66"/>
      <c r="F804" s="57"/>
    </row>
    <row r="805" spans="1:28" ht="34.5" hidden="1" customHeight="1" outlineLevel="1" x14ac:dyDescent="0.35">
      <c r="A805" s="47"/>
      <c r="B805" s="48" t="s">
        <v>464</v>
      </c>
      <c r="C805" s="75" t="s">
        <v>14</v>
      </c>
      <c r="D805" s="77">
        <v>0.04</v>
      </c>
      <c r="E805" s="76"/>
      <c r="F805" s="42"/>
    </row>
    <row r="806" spans="1:28" ht="34.5" hidden="1" customHeight="1" outlineLevel="1" x14ac:dyDescent="0.35">
      <c r="A806" s="47"/>
      <c r="B806" s="48" t="s">
        <v>465</v>
      </c>
      <c r="C806" s="75" t="s">
        <v>14</v>
      </c>
      <c r="D806" s="77">
        <v>1E-3</v>
      </c>
      <c r="E806" s="76"/>
      <c r="F806" s="42"/>
    </row>
    <row r="807" spans="1:28" s="58" customFormat="1" ht="30" customHeight="1" collapsed="1" x14ac:dyDescent="0.4">
      <c r="A807" s="24">
        <f>A804+1</f>
        <v>339</v>
      </c>
      <c r="B807" s="83" t="s">
        <v>466</v>
      </c>
      <c r="C807" s="84" t="s">
        <v>467</v>
      </c>
      <c r="D807" s="85" t="s">
        <v>468</v>
      </c>
      <c r="E807" s="66"/>
      <c r="F807" s="57"/>
    </row>
    <row r="808" spans="1:28" ht="31" hidden="1" customHeight="1" outlineLevel="1" x14ac:dyDescent="0.35">
      <c r="A808" s="74"/>
      <c r="B808" s="48" t="s">
        <v>65</v>
      </c>
      <c r="C808" s="49" t="s">
        <v>19</v>
      </c>
      <c r="D808" s="68">
        <v>0.8</v>
      </c>
      <c r="E808" s="69"/>
      <c r="F808" s="42"/>
    </row>
    <row r="809" spans="1:28" s="39" customFormat="1" ht="21" customHeight="1" collapsed="1" x14ac:dyDescent="0.35">
      <c r="A809" s="154" t="s">
        <v>469</v>
      </c>
      <c r="B809" s="154"/>
      <c r="C809" s="154"/>
      <c r="D809" s="154"/>
      <c r="E809" s="154"/>
      <c r="F809" s="34"/>
      <c r="G809" s="35"/>
      <c r="H809" s="36"/>
      <c r="I809" s="37"/>
      <c r="J809" s="37"/>
      <c r="K809" s="38"/>
      <c r="L809" s="38"/>
      <c r="M809" s="38"/>
      <c r="N809" s="36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</row>
    <row r="810" spans="1:28" s="39" customFormat="1" ht="36" customHeight="1" x14ac:dyDescent="0.35">
      <c r="A810" s="24">
        <f>A807+1</f>
        <v>340</v>
      </c>
      <c r="B810" s="25" t="s">
        <v>119</v>
      </c>
      <c r="C810" s="26" t="s">
        <v>67</v>
      </c>
      <c r="D810" s="40" t="s">
        <v>470</v>
      </c>
      <c r="E810" s="64"/>
      <c r="F810" s="34"/>
      <c r="G810" s="35"/>
      <c r="H810" s="36"/>
      <c r="I810" s="37"/>
      <c r="J810" s="37"/>
      <c r="K810" s="38"/>
      <c r="L810" s="38"/>
      <c r="M810" s="38"/>
      <c r="N810" s="36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</row>
    <row r="811" spans="1:28" s="58" customFormat="1" ht="30" hidden="1" customHeight="1" outlineLevel="1" x14ac:dyDescent="0.4">
      <c r="A811" s="54"/>
      <c r="B811" s="48" t="s">
        <v>471</v>
      </c>
      <c r="C811" s="49" t="s">
        <v>14</v>
      </c>
      <c r="D811" s="65">
        <f>64.89*8.38/1000</f>
        <v>0.5437782000000001</v>
      </c>
      <c r="E811" s="51"/>
      <c r="F811" s="57"/>
    </row>
    <row r="812" spans="1:28" s="58" customFormat="1" ht="30" hidden="1" customHeight="1" outlineLevel="1" x14ac:dyDescent="0.4">
      <c r="A812" s="54"/>
      <c r="B812" s="48" t="s">
        <v>185</v>
      </c>
      <c r="C812" s="49" t="s">
        <v>14</v>
      </c>
      <c r="D812" s="65">
        <f>(2.52+2)*101/1000</f>
        <v>0.45651999999999998</v>
      </c>
      <c r="E812" s="51"/>
      <c r="F812" s="57"/>
    </row>
    <row r="813" spans="1:28" s="58" customFormat="1" ht="30" customHeight="1" collapsed="1" x14ac:dyDescent="0.4">
      <c r="A813" s="24">
        <f>A810+1</f>
        <v>341</v>
      </c>
      <c r="B813" s="59" t="s">
        <v>472</v>
      </c>
      <c r="C813" s="26" t="s">
        <v>67</v>
      </c>
      <c r="D813" s="85" t="s">
        <v>473</v>
      </c>
      <c r="E813" s="66"/>
      <c r="F813" s="57"/>
    </row>
    <row r="814" spans="1:28" s="58" customFormat="1" ht="30" hidden="1" customHeight="1" outlineLevel="1" x14ac:dyDescent="0.4">
      <c r="A814" s="54"/>
      <c r="B814" s="48" t="s">
        <v>474</v>
      </c>
      <c r="C814" s="49" t="s">
        <v>58</v>
      </c>
      <c r="D814" s="55">
        <v>101</v>
      </c>
      <c r="E814" s="51">
        <v>0.46500000000000002</v>
      </c>
      <c r="F814" s="57"/>
    </row>
    <row r="815" spans="1:28" ht="36" customHeight="1" collapsed="1" x14ac:dyDescent="0.35">
      <c r="A815" s="24">
        <f>A813+1</f>
        <v>342</v>
      </c>
      <c r="B815" s="59" t="s">
        <v>72</v>
      </c>
      <c r="C815" s="26" t="s">
        <v>29</v>
      </c>
      <c r="D815" s="67">
        <f>((0.089*3.14*64.89)+(0.2*0.2*2*101)+(0.08*0.1*2*101))</f>
        <v>27.830159399999999</v>
      </c>
      <c r="E815" s="41"/>
      <c r="F815" s="42"/>
    </row>
    <row r="816" spans="1:28" s="58" customFormat="1" ht="30" hidden="1" customHeight="1" outlineLevel="1" x14ac:dyDescent="0.4">
      <c r="A816" s="54"/>
      <c r="B816" s="48" t="s">
        <v>73</v>
      </c>
      <c r="C816" s="49" t="s">
        <v>74</v>
      </c>
      <c r="D816" s="68">
        <f>3.31*D815</f>
        <v>92.117827614000007</v>
      </c>
      <c r="E816" s="69">
        <v>9.1999999999999998E-2</v>
      </c>
      <c r="F816" s="57"/>
    </row>
    <row r="817" spans="1:28" ht="36" customHeight="1" collapsed="1" x14ac:dyDescent="0.35">
      <c r="A817" s="24">
        <f>A815+1</f>
        <v>343</v>
      </c>
      <c r="B817" s="59" t="s">
        <v>75</v>
      </c>
      <c r="C817" s="26" t="s">
        <v>29</v>
      </c>
      <c r="D817" s="67">
        <f>((0.089*3.14*64.89)+(0.2*0.2*2*101)+(0.08*0.1*2*101))</f>
        <v>27.830159399999999</v>
      </c>
      <c r="E817" s="41"/>
      <c r="F817" s="42"/>
    </row>
    <row r="818" spans="1:28" ht="36" customHeight="1" x14ac:dyDescent="0.35">
      <c r="A818" s="24">
        <f>A817+1</f>
        <v>344</v>
      </c>
      <c r="B818" s="59" t="s">
        <v>76</v>
      </c>
      <c r="C818" s="26" t="s">
        <v>29</v>
      </c>
      <c r="D818" s="67">
        <f>((0.089*3.14*64.89)+(0.2*0.2*2*101)+(0.08*0.1*2*101))</f>
        <v>27.830159399999999</v>
      </c>
      <c r="E818" s="41"/>
      <c r="F818" s="42"/>
    </row>
    <row r="819" spans="1:28" s="58" customFormat="1" ht="30" customHeight="1" x14ac:dyDescent="0.4">
      <c r="A819" s="24">
        <f>A818+1</f>
        <v>345</v>
      </c>
      <c r="B819" s="59" t="s">
        <v>77</v>
      </c>
      <c r="C819" s="70" t="s">
        <v>29</v>
      </c>
      <c r="D819" s="67">
        <f>((0.089*3.14*64.89)+(0.2*0.2*2*101)+(0.08*0.1*2*101))</f>
        <v>27.830159399999999</v>
      </c>
      <c r="E819" s="66"/>
      <c r="F819" s="57"/>
    </row>
    <row r="820" spans="1:28" s="58" customFormat="1" ht="30" hidden="1" customHeight="1" outlineLevel="1" x14ac:dyDescent="0.4">
      <c r="A820" s="54"/>
      <c r="B820" s="48" t="s">
        <v>78</v>
      </c>
      <c r="C820" s="49" t="s">
        <v>74</v>
      </c>
      <c r="D820" s="68">
        <f>D819*0.255</f>
        <v>7.096690647</v>
      </c>
      <c r="E820" s="69">
        <v>7.0000000000000001E-3</v>
      </c>
      <c r="F820" s="57"/>
    </row>
    <row r="821" spans="1:28" s="58" customFormat="1" ht="30" customHeight="1" collapsed="1" x14ac:dyDescent="0.4">
      <c r="A821" s="24">
        <f>A819+1</f>
        <v>346</v>
      </c>
      <c r="B821" s="59" t="s">
        <v>79</v>
      </c>
      <c r="C821" s="70" t="s">
        <v>29</v>
      </c>
      <c r="D821" s="67">
        <f>((0.089*3.14*64.89)+(0.2*0.2*2*101)+(0.08*0.1*2*101))</f>
        <v>27.830159399999999</v>
      </c>
      <c r="E821" s="66"/>
      <c r="F821" s="57"/>
    </row>
    <row r="822" spans="1:28" s="58" customFormat="1" ht="30" hidden="1" customHeight="1" outlineLevel="1" x14ac:dyDescent="0.4">
      <c r="A822" s="54"/>
      <c r="B822" s="48" t="s">
        <v>80</v>
      </c>
      <c r="C822" s="49" t="s">
        <v>74</v>
      </c>
      <c r="D822" s="68">
        <f>D821*0.36*2</f>
        <v>20.037714767999997</v>
      </c>
      <c r="E822" s="69">
        <v>0.02</v>
      </c>
      <c r="F822" s="57"/>
    </row>
    <row r="823" spans="1:28" s="39" customFormat="1" ht="21" customHeight="1" collapsed="1" x14ac:dyDescent="0.35">
      <c r="A823" s="154" t="s">
        <v>475</v>
      </c>
      <c r="B823" s="154"/>
      <c r="C823" s="154"/>
      <c r="D823" s="154"/>
      <c r="E823" s="154"/>
      <c r="F823" s="34"/>
      <c r="G823" s="35"/>
      <c r="H823" s="36"/>
      <c r="I823" s="37"/>
      <c r="J823" s="37"/>
      <c r="K823" s="38"/>
      <c r="L823" s="38"/>
      <c r="M823" s="38"/>
      <c r="N823" s="36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</row>
    <row r="824" spans="1:28" s="58" customFormat="1" ht="30" customHeight="1" x14ac:dyDescent="0.4">
      <c r="A824" s="24">
        <f>A821+1</f>
        <v>347</v>
      </c>
      <c r="B824" s="59" t="s">
        <v>472</v>
      </c>
      <c r="C824" s="26" t="s">
        <v>67</v>
      </c>
      <c r="D824" s="85" t="s">
        <v>476</v>
      </c>
      <c r="E824" s="66"/>
      <c r="F824" s="57"/>
    </row>
    <row r="825" spans="1:28" s="58" customFormat="1" ht="30" hidden="1" customHeight="1" outlineLevel="1" x14ac:dyDescent="0.4">
      <c r="A825" s="54"/>
      <c r="B825" s="48" t="s">
        <v>474</v>
      </c>
      <c r="C825" s="49" t="s">
        <v>58</v>
      </c>
      <c r="D825" s="55">
        <v>26</v>
      </c>
      <c r="E825" s="51">
        <v>9.0999999999999998E-2</v>
      </c>
      <c r="F825" s="57"/>
    </row>
    <row r="826" spans="1:28" ht="36" customHeight="1" collapsed="1" x14ac:dyDescent="0.35">
      <c r="A826" s="24">
        <f>A824+1</f>
        <v>348</v>
      </c>
      <c r="B826" s="59" t="s">
        <v>72</v>
      </c>
      <c r="C826" s="26" t="s">
        <v>29</v>
      </c>
      <c r="D826" s="67">
        <f>(0.2*0.2*26)</f>
        <v>1.0400000000000003</v>
      </c>
      <c r="E826" s="41"/>
      <c r="F826" s="42"/>
    </row>
    <row r="827" spans="1:28" s="58" customFormat="1" ht="30" hidden="1" customHeight="1" outlineLevel="1" x14ac:dyDescent="0.4">
      <c r="A827" s="54"/>
      <c r="B827" s="48" t="s">
        <v>73</v>
      </c>
      <c r="C827" s="49" t="s">
        <v>74</v>
      </c>
      <c r="D827" s="68">
        <f>3.31*D826</f>
        <v>3.442400000000001</v>
      </c>
      <c r="E827" s="69">
        <v>3.0000000000000001E-3</v>
      </c>
      <c r="F827" s="57"/>
    </row>
    <row r="828" spans="1:28" ht="36" customHeight="1" collapsed="1" x14ac:dyDescent="0.35">
      <c r="A828" s="24">
        <f>A826+1</f>
        <v>349</v>
      </c>
      <c r="B828" s="59" t="s">
        <v>75</v>
      </c>
      <c r="C828" s="26" t="s">
        <v>29</v>
      </c>
      <c r="D828" s="67">
        <f>(0.2*0.2*26)</f>
        <v>1.0400000000000003</v>
      </c>
      <c r="E828" s="41"/>
      <c r="F828" s="42"/>
    </row>
    <row r="829" spans="1:28" ht="36" customHeight="1" x14ac:dyDescent="0.35">
      <c r="A829" s="24">
        <f>A828+1</f>
        <v>350</v>
      </c>
      <c r="B829" s="59" t="s">
        <v>76</v>
      </c>
      <c r="C829" s="26" t="s">
        <v>29</v>
      </c>
      <c r="D829" s="67">
        <f>(0.2*0.2*26)</f>
        <v>1.0400000000000003</v>
      </c>
      <c r="E829" s="41"/>
      <c r="F829" s="42"/>
    </row>
    <row r="830" spans="1:28" s="58" customFormat="1" ht="30" customHeight="1" x14ac:dyDescent="0.4">
      <c r="A830" s="24">
        <f>A829+1</f>
        <v>351</v>
      </c>
      <c r="B830" s="59" t="s">
        <v>77</v>
      </c>
      <c r="C830" s="70" t="s">
        <v>29</v>
      </c>
      <c r="D830" s="67">
        <f>(0.2*0.2*26)</f>
        <v>1.0400000000000003</v>
      </c>
      <c r="E830" s="66"/>
      <c r="F830" s="57"/>
    </row>
    <row r="831" spans="1:28" s="58" customFormat="1" ht="30" hidden="1" customHeight="1" outlineLevel="1" x14ac:dyDescent="0.4">
      <c r="A831" s="54"/>
      <c r="B831" s="48" t="s">
        <v>78</v>
      </c>
      <c r="C831" s="49" t="s">
        <v>74</v>
      </c>
      <c r="D831" s="68">
        <f>D830*0.255</f>
        <v>0.26520000000000005</v>
      </c>
      <c r="E831" s="69">
        <v>1E-3</v>
      </c>
      <c r="F831" s="57"/>
    </row>
    <row r="832" spans="1:28" s="58" customFormat="1" ht="30" customHeight="1" collapsed="1" x14ac:dyDescent="0.4">
      <c r="A832" s="24">
        <f>A830+1</f>
        <v>352</v>
      </c>
      <c r="B832" s="59" t="s">
        <v>79</v>
      </c>
      <c r="C832" s="70" t="s">
        <v>29</v>
      </c>
      <c r="D832" s="67">
        <f>(0.2*0.2*26)</f>
        <v>1.0400000000000003</v>
      </c>
      <c r="E832" s="66"/>
      <c r="F832" s="57"/>
    </row>
    <row r="833" spans="1:28" s="58" customFormat="1" ht="30" hidden="1" customHeight="1" outlineLevel="1" x14ac:dyDescent="0.4">
      <c r="A833" s="54"/>
      <c r="B833" s="48" t="s">
        <v>80</v>
      </c>
      <c r="C833" s="49" t="s">
        <v>74</v>
      </c>
      <c r="D833" s="68">
        <f>D832*0.36*2</f>
        <v>0.74880000000000013</v>
      </c>
      <c r="E833" s="69"/>
      <c r="F833" s="57"/>
    </row>
    <row r="834" spans="1:28" s="39" customFormat="1" ht="21" customHeight="1" collapsed="1" x14ac:dyDescent="0.35">
      <c r="A834" s="154" t="s">
        <v>477</v>
      </c>
      <c r="B834" s="154"/>
      <c r="C834" s="154"/>
      <c r="D834" s="154"/>
      <c r="E834" s="154"/>
      <c r="F834" s="34"/>
      <c r="G834" s="35"/>
      <c r="H834" s="36"/>
      <c r="I834" s="37"/>
      <c r="J834" s="37"/>
      <c r="K834" s="38"/>
      <c r="L834" s="38"/>
      <c r="M834" s="38"/>
      <c r="N834" s="36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</row>
    <row r="835" spans="1:28" s="39" customFormat="1" ht="36" customHeight="1" x14ac:dyDescent="0.35">
      <c r="A835" s="24">
        <f>A832+1</f>
        <v>353</v>
      </c>
      <c r="B835" s="25" t="s">
        <v>136</v>
      </c>
      <c r="C835" s="26" t="s">
        <v>19</v>
      </c>
      <c r="D835" s="40">
        <v>0.6</v>
      </c>
      <c r="E835" s="64"/>
      <c r="F835" s="34"/>
      <c r="G835" s="35"/>
      <c r="H835" s="36"/>
      <c r="I835" s="37"/>
      <c r="J835" s="37"/>
      <c r="K835" s="38"/>
      <c r="L835" s="38"/>
      <c r="M835" s="38"/>
      <c r="N835" s="36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</row>
    <row r="836" spans="1:28" ht="34.5" hidden="1" customHeight="1" outlineLevel="1" x14ac:dyDescent="0.35">
      <c r="A836" s="47"/>
      <c r="B836" s="48" t="s">
        <v>134</v>
      </c>
      <c r="C836" s="75" t="s">
        <v>19</v>
      </c>
      <c r="D836" s="75">
        <v>0.6</v>
      </c>
      <c r="E836" s="76"/>
      <c r="F836" s="42"/>
    </row>
    <row r="837" spans="1:28" ht="33" customHeight="1" collapsed="1" x14ac:dyDescent="0.35">
      <c r="A837" s="24">
        <f>A835+1</f>
        <v>354</v>
      </c>
      <c r="B837" s="25" t="s">
        <v>64</v>
      </c>
      <c r="C837" s="26" t="s">
        <v>19</v>
      </c>
      <c r="D837" s="40">
        <v>2.6</v>
      </c>
      <c r="E837" s="41"/>
      <c r="F837" s="53"/>
    </row>
    <row r="838" spans="1:28" ht="34.5" hidden="1" customHeight="1" outlineLevel="1" x14ac:dyDescent="0.35">
      <c r="A838" s="47"/>
      <c r="B838" s="48" t="s">
        <v>137</v>
      </c>
      <c r="C838" s="75" t="s">
        <v>14</v>
      </c>
      <c r="D838" s="77">
        <f>6.66*6/1000*1.1</f>
        <v>4.3956000000000009E-2</v>
      </c>
      <c r="E838" s="78"/>
      <c r="F838" s="42"/>
    </row>
    <row r="839" spans="1:28" s="58" customFormat="1" ht="30" hidden="1" customHeight="1" outlineLevel="1" x14ac:dyDescent="0.4">
      <c r="A839" s="54"/>
      <c r="B839" s="48" t="s">
        <v>65</v>
      </c>
      <c r="C839" s="49" t="s">
        <v>19</v>
      </c>
      <c r="D839" s="50">
        <f>0.42*6</f>
        <v>2.52</v>
      </c>
      <c r="E839" s="51"/>
      <c r="F839" s="57"/>
    </row>
    <row r="840" spans="1:28" s="58" customFormat="1" ht="30" customHeight="1" collapsed="1" x14ac:dyDescent="0.4">
      <c r="A840" s="24">
        <f>A837+1</f>
        <v>355</v>
      </c>
      <c r="B840" s="59" t="s">
        <v>138</v>
      </c>
      <c r="C840" s="70" t="s">
        <v>67</v>
      </c>
      <c r="D840" s="40" t="s">
        <v>478</v>
      </c>
      <c r="E840" s="66"/>
      <c r="F840" s="57"/>
    </row>
    <row r="841" spans="1:28" s="58" customFormat="1" ht="30" hidden="1" customHeight="1" outlineLevel="1" x14ac:dyDescent="0.4">
      <c r="A841" s="54"/>
      <c r="B841" s="48" t="s">
        <v>140</v>
      </c>
      <c r="C841" s="49" t="s">
        <v>58</v>
      </c>
      <c r="D841" s="55">
        <v>6</v>
      </c>
      <c r="E841" s="51">
        <v>2.1000000000000001E-2</v>
      </c>
      <c r="F841" s="57"/>
    </row>
    <row r="842" spans="1:28" s="39" customFormat="1" ht="36" customHeight="1" collapsed="1" x14ac:dyDescent="0.35">
      <c r="A842" s="24">
        <f>A840+1</f>
        <v>356</v>
      </c>
      <c r="B842" s="25" t="s">
        <v>66</v>
      </c>
      <c r="C842" s="26" t="s">
        <v>67</v>
      </c>
      <c r="D842" s="106" t="s">
        <v>479</v>
      </c>
      <c r="E842" s="64"/>
      <c r="F842" s="34"/>
      <c r="G842" s="35"/>
      <c r="H842" s="36"/>
      <c r="I842" s="37"/>
      <c r="J842" s="37"/>
      <c r="K842" s="38"/>
      <c r="L842" s="38"/>
      <c r="M842" s="38"/>
      <c r="N842" s="36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</row>
    <row r="843" spans="1:28" s="58" customFormat="1" ht="30" hidden="1" customHeight="1" outlineLevel="1" x14ac:dyDescent="0.4">
      <c r="A843" s="54"/>
      <c r="B843" s="48" t="s">
        <v>480</v>
      </c>
      <c r="C843" s="49" t="s">
        <v>14</v>
      </c>
      <c r="D843" s="65">
        <f>30.1*6/1000</f>
        <v>0.18060000000000001</v>
      </c>
      <c r="E843" s="51"/>
      <c r="F843" s="57"/>
    </row>
    <row r="844" spans="1:28" s="58" customFormat="1" ht="30" hidden="1" customHeight="1" outlineLevel="1" x14ac:dyDescent="0.4">
      <c r="A844" s="54"/>
      <c r="B844" s="48" t="s">
        <v>185</v>
      </c>
      <c r="C844" s="49" t="s">
        <v>14</v>
      </c>
      <c r="D844" s="65">
        <f>(5.66+1.76)*6/1000</f>
        <v>4.4519999999999997E-2</v>
      </c>
      <c r="E844" s="51"/>
      <c r="F844" s="57"/>
    </row>
    <row r="845" spans="1:28" s="58" customFormat="1" ht="30" customHeight="1" collapsed="1" x14ac:dyDescent="0.4">
      <c r="A845" s="24">
        <f>A842+1</f>
        <v>357</v>
      </c>
      <c r="B845" s="59" t="s">
        <v>71</v>
      </c>
      <c r="C845" s="26" t="s">
        <v>67</v>
      </c>
      <c r="D845" s="106" t="s">
        <v>479</v>
      </c>
      <c r="E845" s="66"/>
      <c r="F845" s="57"/>
    </row>
    <row r="846" spans="1:28" ht="36" customHeight="1" x14ac:dyDescent="0.35">
      <c r="A846" s="24">
        <f>A845+1</f>
        <v>358</v>
      </c>
      <c r="B846" s="59" t="s">
        <v>72</v>
      </c>
      <c r="C846" s="26" t="s">
        <v>29</v>
      </c>
      <c r="D846" s="67">
        <f>((0.159*3.14*3.6*6)+(0.3*0.3*6*2)+(0.1*0.07*2*6))</f>
        <v>11.948016000000001</v>
      </c>
      <c r="E846" s="41"/>
      <c r="F846" s="42"/>
    </row>
    <row r="847" spans="1:28" s="58" customFormat="1" ht="30" hidden="1" customHeight="1" outlineLevel="1" x14ac:dyDescent="0.4">
      <c r="A847" s="54"/>
      <c r="B847" s="48" t="s">
        <v>73</v>
      </c>
      <c r="C847" s="49" t="s">
        <v>74</v>
      </c>
      <c r="D847" s="68">
        <f>3.31*D846</f>
        <v>39.547932960000004</v>
      </c>
      <c r="E847" s="69">
        <v>4.1000000000000002E-2</v>
      </c>
      <c r="F847" s="57"/>
    </row>
    <row r="848" spans="1:28" ht="36" customHeight="1" collapsed="1" x14ac:dyDescent="0.35">
      <c r="A848" s="24">
        <f>A846+1</f>
        <v>359</v>
      </c>
      <c r="B848" s="59" t="s">
        <v>75</v>
      </c>
      <c r="C848" s="26" t="s">
        <v>29</v>
      </c>
      <c r="D848" s="67">
        <f>((0.159*3.14*3.6*6)+(0.3*0.3*6*2)+(0.1*0.07*2*6))</f>
        <v>11.948016000000001</v>
      </c>
      <c r="E848" s="41"/>
      <c r="F848" s="42"/>
    </row>
    <row r="849" spans="1:28" ht="36" customHeight="1" x14ac:dyDescent="0.35">
      <c r="A849" s="24">
        <f>A848+1</f>
        <v>360</v>
      </c>
      <c r="B849" s="59" t="s">
        <v>76</v>
      </c>
      <c r="C849" s="26" t="s">
        <v>29</v>
      </c>
      <c r="D849" s="67">
        <f>((0.159*3.14*3.6*6)+(0.3*0.3*6*2)+(0.1*0.07*2*6))</f>
        <v>11.948016000000001</v>
      </c>
      <c r="E849" s="41"/>
      <c r="F849" s="42"/>
    </row>
    <row r="850" spans="1:28" s="58" customFormat="1" ht="30" customHeight="1" x14ac:dyDescent="0.4">
      <c r="A850" s="24">
        <f>A849+1</f>
        <v>361</v>
      </c>
      <c r="B850" s="59" t="s">
        <v>77</v>
      </c>
      <c r="C850" s="70" t="s">
        <v>29</v>
      </c>
      <c r="D850" s="67">
        <f>((0.159*3.14*3.6*6)+(0.3*0.3*6*2)+(0.1*0.07*2*6))</f>
        <v>11.948016000000001</v>
      </c>
      <c r="E850" s="66"/>
      <c r="F850" s="57"/>
    </row>
    <row r="851" spans="1:28" s="58" customFormat="1" ht="30" hidden="1" customHeight="1" outlineLevel="1" x14ac:dyDescent="0.4">
      <c r="A851" s="54"/>
      <c r="B851" s="48" t="s">
        <v>78</v>
      </c>
      <c r="C851" s="49" t="s">
        <v>74</v>
      </c>
      <c r="D851" s="68">
        <f>D850*0.255</f>
        <v>3.0467440800000003</v>
      </c>
      <c r="E851" s="69">
        <v>3.0000000000000001E-3</v>
      </c>
      <c r="F851" s="57"/>
    </row>
    <row r="852" spans="1:28" s="58" customFormat="1" ht="30" customHeight="1" collapsed="1" x14ac:dyDescent="0.4">
      <c r="A852" s="24">
        <f>A850+1</f>
        <v>362</v>
      </c>
      <c r="B852" s="59" t="s">
        <v>79</v>
      </c>
      <c r="C852" s="70" t="s">
        <v>29</v>
      </c>
      <c r="D852" s="67">
        <f>((0.159*3.14*3.6*6)+(0.3*0.3*6*2)+(0.1*0.07*2*6))</f>
        <v>11.948016000000001</v>
      </c>
      <c r="E852" s="66"/>
      <c r="F852" s="57"/>
    </row>
    <row r="853" spans="1:28" s="58" customFormat="1" ht="30" hidden="1" customHeight="1" outlineLevel="1" x14ac:dyDescent="0.4">
      <c r="A853" s="54"/>
      <c r="B853" s="48" t="s">
        <v>80</v>
      </c>
      <c r="C853" s="49" t="s">
        <v>74</v>
      </c>
      <c r="D853" s="68">
        <f>D852*0.36*2</f>
        <v>8.6025715199999997</v>
      </c>
      <c r="E853" s="69">
        <v>8.9999999999999993E-3</v>
      </c>
      <c r="F853" s="57"/>
    </row>
    <row r="854" spans="1:28" s="39" customFormat="1" ht="21" customHeight="1" collapsed="1" x14ac:dyDescent="0.35">
      <c r="A854" s="154" t="s">
        <v>481</v>
      </c>
      <c r="B854" s="154"/>
      <c r="C854" s="154"/>
      <c r="D854" s="154"/>
      <c r="E854" s="154"/>
      <c r="F854" s="34"/>
      <c r="G854" s="35"/>
      <c r="H854" s="36"/>
      <c r="I854" s="37"/>
      <c r="J854" s="37"/>
      <c r="K854" s="38"/>
      <c r="L854" s="38"/>
      <c r="M854" s="38"/>
      <c r="N854" s="36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</row>
    <row r="855" spans="1:28" s="39" customFormat="1" ht="36" customHeight="1" x14ac:dyDescent="0.35">
      <c r="A855" s="24">
        <f>A852+1</f>
        <v>363</v>
      </c>
      <c r="B855" s="25" t="s">
        <v>119</v>
      </c>
      <c r="C855" s="26" t="s">
        <v>67</v>
      </c>
      <c r="D855" s="106" t="s">
        <v>482</v>
      </c>
      <c r="E855" s="64"/>
      <c r="F855" s="34"/>
      <c r="G855" s="35"/>
      <c r="H855" s="36"/>
      <c r="I855" s="37"/>
      <c r="J855" s="37"/>
      <c r="K855" s="38"/>
      <c r="L855" s="38"/>
      <c r="M855" s="38"/>
      <c r="N855" s="36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</row>
    <row r="856" spans="1:28" s="58" customFormat="1" ht="30" hidden="1" customHeight="1" outlineLevel="1" x14ac:dyDescent="0.4">
      <c r="A856" s="54"/>
      <c r="B856" s="48" t="s">
        <v>471</v>
      </c>
      <c r="C856" s="49" t="s">
        <v>14</v>
      </c>
      <c r="D856" s="65">
        <f>3.5*8.38/1000</f>
        <v>2.9330000000000002E-2</v>
      </c>
      <c r="E856" s="51"/>
      <c r="F856" s="57"/>
    </row>
    <row r="857" spans="1:28" s="58" customFormat="1" ht="30" hidden="1" customHeight="1" outlineLevel="1" x14ac:dyDescent="0.4">
      <c r="A857" s="54"/>
      <c r="B857" s="48" t="s">
        <v>185</v>
      </c>
      <c r="C857" s="49" t="s">
        <v>14</v>
      </c>
      <c r="D857" s="65">
        <f>2.52*5/1000</f>
        <v>1.26E-2</v>
      </c>
      <c r="E857" s="51"/>
      <c r="F857" s="57"/>
    </row>
    <row r="858" spans="1:28" ht="36" customHeight="1" collapsed="1" x14ac:dyDescent="0.35">
      <c r="A858" s="24">
        <f>A855+1</f>
        <v>364</v>
      </c>
      <c r="B858" s="59" t="s">
        <v>72</v>
      </c>
      <c r="C858" s="26" t="s">
        <v>29</v>
      </c>
      <c r="D858" s="67">
        <f>((0.089*3.14*3.5*5)+(0.2*0.2*5*2))</f>
        <v>5.2905499999999996</v>
      </c>
      <c r="E858" s="41"/>
      <c r="F858" s="42"/>
    </row>
    <row r="859" spans="1:28" s="58" customFormat="1" ht="30" hidden="1" customHeight="1" outlineLevel="1" x14ac:dyDescent="0.4">
      <c r="A859" s="54"/>
      <c r="B859" s="48" t="s">
        <v>73</v>
      </c>
      <c r="C859" s="49" t="s">
        <v>74</v>
      </c>
      <c r="D859" s="68">
        <f>3.31*D858</f>
        <v>17.511720499999999</v>
      </c>
      <c r="E859" s="69">
        <v>1.7999999999999999E-2</v>
      </c>
      <c r="F859" s="57"/>
    </row>
    <row r="860" spans="1:28" ht="36" customHeight="1" collapsed="1" x14ac:dyDescent="0.35">
      <c r="A860" s="24">
        <f>A858+1</f>
        <v>365</v>
      </c>
      <c r="B860" s="59" t="s">
        <v>75</v>
      </c>
      <c r="C860" s="26" t="s">
        <v>29</v>
      </c>
      <c r="D860" s="67">
        <f>((0.089*3.14*3.5*5)+(0.2*0.2*5*2))</f>
        <v>5.2905499999999996</v>
      </c>
      <c r="E860" s="41"/>
      <c r="F860" s="42"/>
    </row>
    <row r="861" spans="1:28" ht="36" customHeight="1" x14ac:dyDescent="0.35">
      <c r="A861" s="24">
        <f>A860+1</f>
        <v>366</v>
      </c>
      <c r="B861" s="59" t="s">
        <v>76</v>
      </c>
      <c r="C861" s="26" t="s">
        <v>29</v>
      </c>
      <c r="D861" s="67">
        <f>((0.089*3.14*3.5*5)+(0.2*0.2*5*2))</f>
        <v>5.2905499999999996</v>
      </c>
      <c r="E861" s="41"/>
      <c r="F861" s="42"/>
    </row>
    <row r="862" spans="1:28" s="58" customFormat="1" ht="30" customHeight="1" x14ac:dyDescent="0.4">
      <c r="A862" s="24">
        <f>A861+1</f>
        <v>367</v>
      </c>
      <c r="B862" s="59" t="s">
        <v>77</v>
      </c>
      <c r="C862" s="70" t="s">
        <v>29</v>
      </c>
      <c r="D862" s="67">
        <f>((0.089*3.14*3.5*5)+(0.2*0.2*5*2))</f>
        <v>5.2905499999999996</v>
      </c>
      <c r="E862" s="66"/>
      <c r="F862" s="57"/>
    </row>
    <row r="863" spans="1:28" s="58" customFormat="1" ht="30" hidden="1" customHeight="1" outlineLevel="1" x14ac:dyDescent="0.4">
      <c r="A863" s="54"/>
      <c r="B863" s="48" t="s">
        <v>78</v>
      </c>
      <c r="C863" s="49" t="s">
        <v>74</v>
      </c>
      <c r="D863" s="68">
        <f>D862*0.255</f>
        <v>1.3490902499999999</v>
      </c>
      <c r="E863" s="69">
        <v>1E-3</v>
      </c>
      <c r="F863" s="57"/>
    </row>
    <row r="864" spans="1:28" s="58" customFormat="1" ht="30" customHeight="1" collapsed="1" x14ac:dyDescent="0.4">
      <c r="A864" s="24">
        <f>A862+1</f>
        <v>368</v>
      </c>
      <c r="B864" s="59" t="s">
        <v>79</v>
      </c>
      <c r="C864" s="70" t="s">
        <v>29</v>
      </c>
      <c r="D864" s="67">
        <f>((0.089*3.14*3.5*5)+(0.2*0.2*5*2))</f>
        <v>5.2905499999999996</v>
      </c>
      <c r="E864" s="66"/>
      <c r="F864" s="57"/>
    </row>
    <row r="865" spans="1:28" s="58" customFormat="1" ht="30" hidden="1" customHeight="1" outlineLevel="1" x14ac:dyDescent="0.4">
      <c r="A865" s="54"/>
      <c r="B865" s="48" t="s">
        <v>80</v>
      </c>
      <c r="C865" s="49" t="s">
        <v>74</v>
      </c>
      <c r="D865" s="68">
        <f>D864*0.36*2</f>
        <v>3.8091959999999996</v>
      </c>
      <c r="E865" s="69">
        <v>4.0000000000000001E-3</v>
      </c>
      <c r="F865" s="57"/>
    </row>
    <row r="866" spans="1:28" s="39" customFormat="1" ht="21" customHeight="1" collapsed="1" x14ac:dyDescent="0.35">
      <c r="A866" s="154" t="s">
        <v>483</v>
      </c>
      <c r="B866" s="154"/>
      <c r="C866" s="154"/>
      <c r="D866" s="154"/>
      <c r="E866" s="154"/>
      <c r="F866" s="34"/>
      <c r="G866" s="35"/>
      <c r="H866" s="36"/>
      <c r="I866" s="37"/>
      <c r="J866" s="37"/>
      <c r="K866" s="38"/>
      <c r="L866" s="38"/>
      <c r="M866" s="38"/>
      <c r="N866" s="36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</row>
    <row r="867" spans="1:28" s="39" customFormat="1" ht="21" customHeight="1" x14ac:dyDescent="0.35">
      <c r="A867" s="158" t="s">
        <v>484</v>
      </c>
      <c r="B867" s="158"/>
      <c r="C867" s="158"/>
      <c r="D867" s="158"/>
      <c r="E867" s="158"/>
      <c r="F867" s="34"/>
      <c r="G867" s="35"/>
      <c r="H867" s="36"/>
      <c r="I867" s="37"/>
      <c r="J867" s="37"/>
      <c r="K867" s="38"/>
      <c r="L867" s="38"/>
      <c r="M867" s="38"/>
      <c r="N867" s="36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</row>
    <row r="868" spans="1:28" s="58" customFormat="1" ht="30" customHeight="1" x14ac:dyDescent="0.4">
      <c r="A868" s="24">
        <f>A864+1</f>
        <v>369</v>
      </c>
      <c r="B868" s="83" t="s">
        <v>485</v>
      </c>
      <c r="C868" s="84" t="s">
        <v>14</v>
      </c>
      <c r="D868" s="107">
        <f>(43.06+113.34+18.72+18.04+53.08+27.39+13.27+3.39+20.36+16.59+40.41+16.48+30.14+8.08+26.4)/1000</f>
        <v>0.44874999999999993</v>
      </c>
      <c r="E868" s="66"/>
      <c r="F868" s="57"/>
    </row>
    <row r="869" spans="1:28" s="58" customFormat="1" ht="30" hidden="1" customHeight="1" outlineLevel="1" x14ac:dyDescent="0.4">
      <c r="A869" s="54"/>
      <c r="B869" s="48" t="s">
        <v>486</v>
      </c>
      <c r="C869" s="49" t="s">
        <v>58</v>
      </c>
      <c r="D869" s="55">
        <v>1</v>
      </c>
      <c r="E869" s="69">
        <v>1E-3</v>
      </c>
      <c r="F869" s="57"/>
    </row>
    <row r="870" spans="1:28" ht="36" customHeight="1" collapsed="1" x14ac:dyDescent="0.35">
      <c r="A870" s="24">
        <f>A868+1</f>
        <v>370</v>
      </c>
      <c r="B870" s="59" t="s">
        <v>72</v>
      </c>
      <c r="C870" s="26" t="s">
        <v>29</v>
      </c>
      <c r="D870" s="104">
        <f>((43.06+113.34+18.72+18.04+53.08+27.39+13.27+3.39+20.36+16.59+40.41+16.48+30.14+8.08+26.4)/1000*26)+3.34+2.2</f>
        <v>17.2075</v>
      </c>
      <c r="E870" s="41"/>
      <c r="F870" s="42"/>
    </row>
    <row r="871" spans="1:28" s="58" customFormat="1" ht="30" hidden="1" customHeight="1" outlineLevel="1" x14ac:dyDescent="0.4">
      <c r="A871" s="54"/>
      <c r="B871" s="48" t="s">
        <v>73</v>
      </c>
      <c r="C871" s="49" t="s">
        <v>74</v>
      </c>
      <c r="D871" s="68">
        <f>3.31*D870</f>
        <v>56.956825000000002</v>
      </c>
      <c r="E871" s="69">
        <v>5.7000000000000002E-2</v>
      </c>
      <c r="F871" s="57"/>
    </row>
    <row r="872" spans="1:28" ht="36" customHeight="1" collapsed="1" x14ac:dyDescent="0.35">
      <c r="A872" s="24">
        <f>A870+1</f>
        <v>371</v>
      </c>
      <c r="B872" s="59" t="s">
        <v>75</v>
      </c>
      <c r="C872" s="26" t="s">
        <v>29</v>
      </c>
      <c r="D872" s="104">
        <f>((43.06+113.34+18.72+18.04+53.08+27.39+13.27+3.39+20.36+16.59+40.41+16.48+30.14+8.08+26.4)/1000*26)+3.34+2.2</f>
        <v>17.2075</v>
      </c>
      <c r="E872" s="41"/>
      <c r="F872" s="42"/>
    </row>
    <row r="873" spans="1:28" ht="36" customHeight="1" x14ac:dyDescent="0.35">
      <c r="A873" s="24">
        <f>A872+1</f>
        <v>372</v>
      </c>
      <c r="B873" s="59" t="s">
        <v>76</v>
      </c>
      <c r="C873" s="26" t="s">
        <v>29</v>
      </c>
      <c r="D873" s="104">
        <f>((43.06+113.34+18.72+18.04+53.08+27.39+13.27+3.39+20.36+16.59+40.41+16.48+30.14+8.08+26.4)/1000*26)+3.34+2.2</f>
        <v>17.2075</v>
      </c>
      <c r="E873" s="41"/>
      <c r="F873" s="42"/>
    </row>
    <row r="874" spans="1:28" s="58" customFormat="1" ht="30" customHeight="1" x14ac:dyDescent="0.4">
      <c r="A874" s="24">
        <f>A873+1</f>
        <v>373</v>
      </c>
      <c r="B874" s="59" t="s">
        <v>77</v>
      </c>
      <c r="C874" s="70" t="s">
        <v>29</v>
      </c>
      <c r="D874" s="104">
        <f>((43.06+113.34+18.72+18.04+53.08+27.39+13.27+3.39+20.36+16.59+40.41+16.48+30.14+8.08+26.4)/1000*26)+3.34+2.2</f>
        <v>17.2075</v>
      </c>
      <c r="E874" s="66"/>
      <c r="F874" s="57"/>
    </row>
    <row r="875" spans="1:28" s="58" customFormat="1" ht="30" hidden="1" customHeight="1" outlineLevel="1" x14ac:dyDescent="0.4">
      <c r="A875" s="54"/>
      <c r="B875" s="48" t="s">
        <v>78</v>
      </c>
      <c r="C875" s="49" t="s">
        <v>74</v>
      </c>
      <c r="D875" s="68">
        <f>D874*0.255</f>
        <v>4.3879124999999997</v>
      </c>
      <c r="E875" s="69">
        <v>4.0000000000000001E-3</v>
      </c>
      <c r="F875" s="57"/>
    </row>
    <row r="876" spans="1:28" s="58" customFormat="1" ht="30" customHeight="1" collapsed="1" x14ac:dyDescent="0.4">
      <c r="A876" s="24">
        <f>A874+1</f>
        <v>374</v>
      </c>
      <c r="B876" s="59" t="s">
        <v>79</v>
      </c>
      <c r="C876" s="70" t="s">
        <v>29</v>
      </c>
      <c r="D876" s="104">
        <f>((43.06+113.34+18.72+18.04+53.08+27.39+13.27+3.39+20.36+16.59+40.41+16.48+30.14+8.08+26.4)/1000*26)+3.34+2.2</f>
        <v>17.2075</v>
      </c>
      <c r="E876" s="66"/>
      <c r="F876" s="57"/>
    </row>
    <row r="877" spans="1:28" s="58" customFormat="1" ht="30" hidden="1" customHeight="1" outlineLevel="1" x14ac:dyDescent="0.4">
      <c r="A877" s="54"/>
      <c r="B877" s="48" t="s">
        <v>80</v>
      </c>
      <c r="C877" s="49" t="s">
        <v>74</v>
      </c>
      <c r="D877" s="68">
        <f>D876*0.36*2</f>
        <v>12.389399999999998</v>
      </c>
      <c r="E877" s="69">
        <v>1.2E-2</v>
      </c>
      <c r="F877" s="57"/>
    </row>
    <row r="878" spans="1:28" s="39" customFormat="1" ht="21" customHeight="1" collapsed="1" x14ac:dyDescent="0.35">
      <c r="A878" s="154" t="s">
        <v>487</v>
      </c>
      <c r="B878" s="154"/>
      <c r="C878" s="154"/>
      <c r="D878" s="154"/>
      <c r="E878" s="154"/>
      <c r="F878" s="34"/>
      <c r="G878" s="35"/>
      <c r="H878" s="36"/>
      <c r="I878" s="37"/>
      <c r="J878" s="37"/>
      <c r="K878" s="38"/>
      <c r="L878" s="38"/>
      <c r="M878" s="38"/>
      <c r="N878" s="36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</row>
    <row r="879" spans="1:28" s="39" customFormat="1" ht="21" customHeight="1" x14ac:dyDescent="0.35">
      <c r="A879" s="158" t="s">
        <v>488</v>
      </c>
      <c r="B879" s="158"/>
      <c r="C879" s="158"/>
      <c r="D879" s="158"/>
      <c r="E879" s="158"/>
      <c r="F879" s="34"/>
      <c r="G879" s="35"/>
      <c r="H879" s="36"/>
      <c r="I879" s="37"/>
      <c r="J879" s="37"/>
      <c r="K879" s="38"/>
      <c r="L879" s="38"/>
      <c r="M879" s="38"/>
      <c r="N879" s="36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</row>
    <row r="880" spans="1:28" s="58" customFormat="1" ht="30" customHeight="1" x14ac:dyDescent="0.4">
      <c r="A880" s="24">
        <f>A876+1</f>
        <v>375</v>
      </c>
      <c r="B880" s="83" t="s">
        <v>485</v>
      </c>
      <c r="C880" s="84" t="s">
        <v>14</v>
      </c>
      <c r="D880" s="107">
        <f>(61.46+113.34+18.72+26.24+53.08+27.39+13.27+6.79+30.54+16.59+44.18+18.99+34.85+10.1+26.4)/1000</f>
        <v>0.50194000000000005</v>
      </c>
      <c r="E880" s="66"/>
      <c r="F880" s="57"/>
    </row>
    <row r="881" spans="1:28" s="58" customFormat="1" ht="30" hidden="1" customHeight="1" outlineLevel="1" x14ac:dyDescent="0.4">
      <c r="A881" s="54"/>
      <c r="B881" s="48" t="s">
        <v>489</v>
      </c>
      <c r="C881" s="49" t="s">
        <v>58</v>
      </c>
      <c r="D881" s="55">
        <v>1</v>
      </c>
      <c r="E881" s="69">
        <v>1E-3</v>
      </c>
      <c r="F881" s="57"/>
    </row>
    <row r="882" spans="1:28" ht="36" customHeight="1" collapsed="1" x14ac:dyDescent="0.35">
      <c r="A882" s="24">
        <f>A880+1</f>
        <v>376</v>
      </c>
      <c r="B882" s="59" t="s">
        <v>72</v>
      </c>
      <c r="C882" s="26" t="s">
        <v>29</v>
      </c>
      <c r="D882" s="104">
        <f>((61.46+113.34+18.72+26.24+53.08+27.39+13.27+6.79+30.54+16.59+44.18+18.99+34.85+10.1+26.4)/1000*26)+3.2+2.2</f>
        <v>18.45044</v>
      </c>
      <c r="E882" s="41"/>
      <c r="F882" s="42"/>
    </row>
    <row r="883" spans="1:28" s="58" customFormat="1" ht="30" hidden="1" customHeight="1" outlineLevel="1" x14ac:dyDescent="0.4">
      <c r="A883" s="54"/>
      <c r="B883" s="48" t="s">
        <v>73</v>
      </c>
      <c r="C883" s="49" t="s">
        <v>74</v>
      </c>
      <c r="D883" s="68">
        <f>3.31*D882</f>
        <v>61.0709564</v>
      </c>
      <c r="E883" s="69">
        <v>6.0999999999999999E-2</v>
      </c>
      <c r="F883" s="57"/>
    </row>
    <row r="884" spans="1:28" ht="36" customHeight="1" collapsed="1" x14ac:dyDescent="0.35">
      <c r="A884" s="24">
        <f>A882+1</f>
        <v>377</v>
      </c>
      <c r="B884" s="59" t="s">
        <v>75</v>
      </c>
      <c r="C884" s="26" t="s">
        <v>29</v>
      </c>
      <c r="D884" s="104">
        <f>((61.46+113.34+18.72+26.24+53.08+27.39+13.27+6.79+30.54+16.59+44.18+18.99+34.85+10.1+26.4)/1000*26)+3.2+2.2</f>
        <v>18.45044</v>
      </c>
      <c r="E884" s="41"/>
      <c r="F884" s="42"/>
    </row>
    <row r="885" spans="1:28" ht="36" customHeight="1" x14ac:dyDescent="0.35">
      <c r="A885" s="24">
        <f>A884+1</f>
        <v>378</v>
      </c>
      <c r="B885" s="59" t="s">
        <v>76</v>
      </c>
      <c r="C885" s="26" t="s">
        <v>29</v>
      </c>
      <c r="D885" s="104">
        <f>((61.46+113.34+18.72+26.24+53.08+27.39+13.27+6.79+30.54+16.59+44.18+18.99+34.85+10.1+26.4)/1000*26)+3.2+2.2</f>
        <v>18.45044</v>
      </c>
      <c r="E885" s="41"/>
      <c r="F885" s="42"/>
    </row>
    <row r="886" spans="1:28" s="58" customFormat="1" ht="30" customHeight="1" x14ac:dyDescent="0.4">
      <c r="A886" s="24">
        <f>A885+1</f>
        <v>379</v>
      </c>
      <c r="B886" s="59" t="s">
        <v>77</v>
      </c>
      <c r="C886" s="70" t="s">
        <v>29</v>
      </c>
      <c r="D886" s="104">
        <f>((61.46+113.34+18.72+26.24+53.08+27.39+13.27+6.79+30.54+16.59+44.18+18.99+34.85+10.1+26.4)/1000*26)+3.2+2.2</f>
        <v>18.45044</v>
      </c>
      <c r="E886" s="66"/>
      <c r="F886" s="57"/>
    </row>
    <row r="887" spans="1:28" s="58" customFormat="1" ht="30" hidden="1" customHeight="1" outlineLevel="1" x14ac:dyDescent="0.4">
      <c r="A887" s="54"/>
      <c r="B887" s="48" t="s">
        <v>78</v>
      </c>
      <c r="C887" s="49" t="s">
        <v>74</v>
      </c>
      <c r="D887" s="68">
        <f>D886*0.255</f>
        <v>4.7048622</v>
      </c>
      <c r="E887" s="69">
        <v>5.0000000000000001E-3</v>
      </c>
      <c r="F887" s="57"/>
    </row>
    <row r="888" spans="1:28" s="58" customFormat="1" ht="30" customHeight="1" collapsed="1" x14ac:dyDescent="0.4">
      <c r="A888" s="24">
        <f>A886+1</f>
        <v>380</v>
      </c>
      <c r="B888" s="59" t="s">
        <v>79</v>
      </c>
      <c r="C888" s="70" t="s">
        <v>29</v>
      </c>
      <c r="D888" s="104">
        <f>((61.46+113.34+18.72+26.24+53.08+27.39+13.27+6.79+30.54+16.59+44.18+18.99+34.85+10.1+26.4)/1000*26)+3.2+2.2</f>
        <v>18.45044</v>
      </c>
      <c r="E888" s="66"/>
      <c r="F888" s="57"/>
    </row>
    <row r="889" spans="1:28" s="58" customFormat="1" ht="30" hidden="1" customHeight="1" outlineLevel="1" x14ac:dyDescent="0.4">
      <c r="A889" s="54"/>
      <c r="B889" s="48" t="s">
        <v>80</v>
      </c>
      <c r="C889" s="49" t="s">
        <v>74</v>
      </c>
      <c r="D889" s="68">
        <f>D888*0.36*2</f>
        <v>13.284316799999999</v>
      </c>
      <c r="E889" s="69">
        <v>1.2999999999999999E-2</v>
      </c>
      <c r="F889" s="57"/>
    </row>
    <row r="890" spans="1:28" s="39" customFormat="1" ht="21" customHeight="1" collapsed="1" x14ac:dyDescent="0.35">
      <c r="A890" s="154" t="s">
        <v>490</v>
      </c>
      <c r="B890" s="154"/>
      <c r="C890" s="154"/>
      <c r="D890" s="154"/>
      <c r="E890" s="154"/>
      <c r="F890" s="34"/>
      <c r="G890" s="35"/>
      <c r="H890" s="36"/>
      <c r="I890" s="37"/>
      <c r="J890" s="37"/>
      <c r="K890" s="38"/>
      <c r="L890" s="38"/>
      <c r="M890" s="38"/>
      <c r="N890" s="36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</row>
    <row r="891" spans="1:28" s="39" customFormat="1" ht="21" customHeight="1" x14ac:dyDescent="0.35">
      <c r="A891" s="158" t="s">
        <v>491</v>
      </c>
      <c r="B891" s="158"/>
      <c r="C891" s="158"/>
      <c r="D891" s="158"/>
      <c r="E891" s="158"/>
      <c r="F891" s="34"/>
      <c r="G891" s="35"/>
      <c r="H891" s="36"/>
      <c r="I891" s="37"/>
      <c r="J891" s="37"/>
      <c r="K891" s="38"/>
      <c r="L891" s="38"/>
      <c r="M891" s="38"/>
      <c r="N891" s="36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</row>
    <row r="892" spans="1:28" s="58" customFormat="1" ht="30" customHeight="1" x14ac:dyDescent="0.4">
      <c r="A892" s="24">
        <f>A888+1</f>
        <v>381</v>
      </c>
      <c r="B892" s="83" t="s">
        <v>485</v>
      </c>
      <c r="C892" s="84" t="s">
        <v>14</v>
      </c>
      <c r="D892" s="107">
        <f>(116.66+129.54+18.72+50.84+53.08+27.39+13.27+16.97+40.72+16.59+55.49+26.53+48.98+12.12+26.4)/1000</f>
        <v>0.65329999999999988</v>
      </c>
      <c r="E892" s="66"/>
      <c r="F892" s="57"/>
    </row>
    <row r="893" spans="1:28" s="58" customFormat="1" ht="30" hidden="1" customHeight="1" outlineLevel="1" x14ac:dyDescent="0.4">
      <c r="A893" s="54"/>
      <c r="B893" s="48" t="s">
        <v>492</v>
      </c>
      <c r="C893" s="49" t="s">
        <v>58</v>
      </c>
      <c r="D893" s="55">
        <v>1</v>
      </c>
      <c r="E893" s="69">
        <v>1E-3</v>
      </c>
      <c r="F893" s="57"/>
    </row>
    <row r="894" spans="1:28" s="39" customFormat="1" ht="36" customHeight="1" collapsed="1" x14ac:dyDescent="0.35">
      <c r="A894" s="24">
        <f>A892+1</f>
        <v>382</v>
      </c>
      <c r="B894" s="25" t="s">
        <v>119</v>
      </c>
      <c r="C894" s="26" t="s">
        <v>67</v>
      </c>
      <c r="D894" s="106" t="s">
        <v>493</v>
      </c>
      <c r="E894" s="64"/>
      <c r="F894" s="34"/>
      <c r="G894" s="35"/>
      <c r="H894" s="36"/>
      <c r="I894" s="37"/>
      <c r="J894" s="37"/>
      <c r="K894" s="38"/>
      <c r="L894" s="38"/>
      <c r="M894" s="38"/>
      <c r="N894" s="36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</row>
    <row r="895" spans="1:28" s="58" customFormat="1" ht="30" hidden="1" customHeight="1" outlineLevel="1" x14ac:dyDescent="0.4">
      <c r="A895" s="54"/>
      <c r="B895" s="48" t="s">
        <v>471</v>
      </c>
      <c r="C895" s="49" t="s">
        <v>14</v>
      </c>
      <c r="D895" s="65">
        <f>1.04*8.38*2/1000</f>
        <v>1.7430400000000002E-2</v>
      </c>
      <c r="E895" s="51"/>
      <c r="F895" s="57"/>
    </row>
    <row r="896" spans="1:28" s="58" customFormat="1" ht="30" hidden="1" customHeight="1" outlineLevel="1" x14ac:dyDescent="0.4">
      <c r="A896" s="54"/>
      <c r="B896" s="48" t="s">
        <v>185</v>
      </c>
      <c r="C896" s="49" t="s">
        <v>14</v>
      </c>
      <c r="D896" s="65">
        <f>(2.52+1.52+3.92)*2/1000</f>
        <v>1.592E-2</v>
      </c>
      <c r="E896" s="51"/>
      <c r="F896" s="57"/>
    </row>
    <row r="897" spans="1:28" ht="36" customHeight="1" collapsed="1" x14ac:dyDescent="0.35">
      <c r="A897" s="24">
        <f>A894+1</f>
        <v>383</v>
      </c>
      <c r="B897" s="59" t="s">
        <v>72</v>
      </c>
      <c r="C897" s="26" t="s">
        <v>29</v>
      </c>
      <c r="D897" s="104">
        <f>((116.66+129.54+18.72+50.84+53.08+27.39+13.27+16.97+40.72+16.59+55.49+26.53+48.98+12.12+26.4)/1000*26)+6.2+3.4</f>
        <v>26.585799999999995</v>
      </c>
      <c r="E897" s="41"/>
      <c r="F897" s="42"/>
    </row>
    <row r="898" spans="1:28" s="58" customFormat="1" ht="30" hidden="1" customHeight="1" outlineLevel="1" x14ac:dyDescent="0.4">
      <c r="A898" s="54"/>
      <c r="B898" s="48" t="s">
        <v>73</v>
      </c>
      <c r="C898" s="49" t="s">
        <v>74</v>
      </c>
      <c r="D898" s="68">
        <f>3.31*D897</f>
        <v>87.998997999999986</v>
      </c>
      <c r="E898" s="69">
        <v>8.7999999999999995E-2</v>
      </c>
      <c r="F898" s="57"/>
    </row>
    <row r="899" spans="1:28" ht="36" customHeight="1" collapsed="1" x14ac:dyDescent="0.35">
      <c r="A899" s="24">
        <f>A897+1</f>
        <v>384</v>
      </c>
      <c r="B899" s="59" t="s">
        <v>75</v>
      </c>
      <c r="C899" s="26" t="s">
        <v>29</v>
      </c>
      <c r="D899" s="104">
        <f>((116.66+129.54+18.72+50.84+53.08+27.39+13.27+16.97+40.72+16.59+55.49+26.53+48.98+12.12+26.4)/1000*26)+6.2+3.4</f>
        <v>26.585799999999995</v>
      </c>
      <c r="E899" s="41"/>
      <c r="F899" s="42"/>
    </row>
    <row r="900" spans="1:28" ht="36" customHeight="1" x14ac:dyDescent="0.35">
      <c r="A900" s="24">
        <f>A899+1</f>
        <v>385</v>
      </c>
      <c r="B900" s="59" t="s">
        <v>76</v>
      </c>
      <c r="C900" s="26" t="s">
        <v>29</v>
      </c>
      <c r="D900" s="104">
        <f>((116.66+129.54+18.72+50.84+53.08+27.39+13.27+16.97+40.72+16.59+55.49+26.53+48.98+12.12+26.4)/1000*26)+6.2+3.4</f>
        <v>26.585799999999995</v>
      </c>
      <c r="E900" s="41"/>
      <c r="F900" s="42"/>
    </row>
    <row r="901" spans="1:28" s="58" customFormat="1" ht="30" customHeight="1" x14ac:dyDescent="0.4">
      <c r="A901" s="24">
        <f>A900+1</f>
        <v>386</v>
      </c>
      <c r="B901" s="59" t="s">
        <v>77</v>
      </c>
      <c r="C901" s="70" t="s">
        <v>29</v>
      </c>
      <c r="D901" s="104">
        <f>((116.66+129.54+18.72+50.84+53.08+27.39+13.27+16.97+40.72+16.59+55.49+26.53+48.98+12.12+26.4)/1000*26)+6.2+3.4</f>
        <v>26.585799999999995</v>
      </c>
      <c r="E901" s="66"/>
      <c r="F901" s="57"/>
    </row>
    <row r="902" spans="1:28" s="58" customFormat="1" ht="30" hidden="1" customHeight="1" outlineLevel="1" x14ac:dyDescent="0.4">
      <c r="A902" s="54"/>
      <c r="B902" s="48" t="s">
        <v>78</v>
      </c>
      <c r="C902" s="49" t="s">
        <v>74</v>
      </c>
      <c r="D902" s="68">
        <f>D901*0.255</f>
        <v>6.7793789999999987</v>
      </c>
      <c r="E902" s="69">
        <v>7.0000000000000001E-3</v>
      </c>
      <c r="F902" s="57"/>
    </row>
    <row r="903" spans="1:28" s="58" customFormat="1" ht="30" customHeight="1" collapsed="1" x14ac:dyDescent="0.4">
      <c r="A903" s="24">
        <f>A901+1</f>
        <v>387</v>
      </c>
      <c r="B903" s="59" t="s">
        <v>79</v>
      </c>
      <c r="C903" s="70" t="s">
        <v>29</v>
      </c>
      <c r="D903" s="104">
        <f>((116.66+129.54+18.72+50.84+53.08+27.39+13.27+16.97+40.72+16.59+55.49+26.53+48.98+12.12+26.4)/1000*26)+6.2+3.4</f>
        <v>26.585799999999995</v>
      </c>
      <c r="E903" s="66"/>
      <c r="F903" s="57"/>
    </row>
    <row r="904" spans="1:28" s="58" customFormat="1" ht="30" hidden="1" customHeight="1" outlineLevel="1" x14ac:dyDescent="0.4">
      <c r="A904" s="54"/>
      <c r="B904" s="48" t="s">
        <v>80</v>
      </c>
      <c r="C904" s="49" t="s">
        <v>74</v>
      </c>
      <c r="D904" s="68">
        <f>D903*0.36*2</f>
        <v>19.141775999999997</v>
      </c>
      <c r="E904" s="69">
        <v>1.9E-2</v>
      </c>
      <c r="F904" s="57"/>
    </row>
    <row r="905" spans="1:28" s="39" customFormat="1" ht="21" customHeight="1" collapsed="1" x14ac:dyDescent="0.35">
      <c r="A905" s="154" t="s">
        <v>494</v>
      </c>
      <c r="B905" s="154"/>
      <c r="C905" s="154"/>
      <c r="D905" s="154"/>
      <c r="E905" s="154"/>
      <c r="F905" s="34"/>
      <c r="G905" s="35"/>
      <c r="H905" s="36"/>
      <c r="I905" s="37"/>
      <c r="J905" s="37"/>
      <c r="K905" s="38"/>
      <c r="L905" s="38"/>
      <c r="M905" s="38"/>
      <c r="N905" s="36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</row>
    <row r="906" spans="1:28" s="39" customFormat="1" ht="21" customHeight="1" x14ac:dyDescent="0.35">
      <c r="A906" s="158" t="s">
        <v>495</v>
      </c>
      <c r="B906" s="158"/>
      <c r="C906" s="158"/>
      <c r="D906" s="158"/>
      <c r="E906" s="158"/>
      <c r="F906" s="34"/>
      <c r="G906" s="35"/>
      <c r="H906" s="36"/>
      <c r="I906" s="37"/>
      <c r="J906" s="37"/>
      <c r="K906" s="38"/>
      <c r="L906" s="38"/>
      <c r="M906" s="38"/>
      <c r="N906" s="36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</row>
    <row r="907" spans="1:28" ht="36" customHeight="1" x14ac:dyDescent="0.35">
      <c r="A907" s="24">
        <f>A903+1</f>
        <v>388</v>
      </c>
      <c r="B907" s="59" t="s">
        <v>72</v>
      </c>
      <c r="C907" s="26" t="s">
        <v>29</v>
      </c>
      <c r="D907" s="104">
        <v>52.1</v>
      </c>
      <c r="E907" s="41"/>
      <c r="F907" s="42"/>
    </row>
    <row r="908" spans="1:28" s="58" customFormat="1" ht="30" hidden="1" customHeight="1" outlineLevel="1" x14ac:dyDescent="0.4">
      <c r="A908" s="54"/>
      <c r="B908" s="48" t="s">
        <v>73</v>
      </c>
      <c r="C908" s="49" t="s">
        <v>74</v>
      </c>
      <c r="D908" s="68">
        <f>3.31*D907</f>
        <v>172.45099999999999</v>
      </c>
      <c r="E908" s="69">
        <v>0.17299999999999999</v>
      </c>
      <c r="F908" s="57"/>
    </row>
    <row r="909" spans="1:28" ht="36" customHeight="1" collapsed="1" x14ac:dyDescent="0.35">
      <c r="A909" s="24">
        <f>A907+1</f>
        <v>389</v>
      </c>
      <c r="B909" s="59" t="s">
        <v>75</v>
      </c>
      <c r="C909" s="26" t="s">
        <v>29</v>
      </c>
      <c r="D909" s="104">
        <v>52.1</v>
      </c>
      <c r="E909" s="41"/>
      <c r="F909" s="42"/>
    </row>
    <row r="910" spans="1:28" ht="36" customHeight="1" x14ac:dyDescent="0.35">
      <c r="A910" s="24">
        <f>A909+1</f>
        <v>390</v>
      </c>
      <c r="B910" s="59" t="s">
        <v>76</v>
      </c>
      <c r="C910" s="26" t="s">
        <v>29</v>
      </c>
      <c r="D910" s="104">
        <v>52.1</v>
      </c>
      <c r="E910" s="41"/>
      <c r="F910" s="42"/>
    </row>
    <row r="911" spans="1:28" s="58" customFormat="1" ht="30" customHeight="1" x14ac:dyDescent="0.4">
      <c r="A911" s="24">
        <f>A910+1</f>
        <v>391</v>
      </c>
      <c r="B911" s="59" t="s">
        <v>77</v>
      </c>
      <c r="C911" s="70" t="s">
        <v>29</v>
      </c>
      <c r="D911" s="104">
        <v>52.1</v>
      </c>
      <c r="E911" s="66"/>
      <c r="F911" s="57"/>
    </row>
    <row r="912" spans="1:28" s="58" customFormat="1" ht="30" hidden="1" customHeight="1" outlineLevel="1" x14ac:dyDescent="0.4">
      <c r="A912" s="54"/>
      <c r="B912" s="48" t="s">
        <v>78</v>
      </c>
      <c r="C912" s="49" t="s">
        <v>74</v>
      </c>
      <c r="D912" s="68">
        <f>D911*0.255</f>
        <v>13.285500000000001</v>
      </c>
      <c r="E912" s="69">
        <v>1.2999999999999999E-2</v>
      </c>
      <c r="F912" s="57"/>
    </row>
    <row r="913" spans="1:28" s="58" customFormat="1" ht="30" customHeight="1" collapsed="1" x14ac:dyDescent="0.4">
      <c r="A913" s="24">
        <f>A911+1</f>
        <v>392</v>
      </c>
      <c r="B913" s="59" t="s">
        <v>79</v>
      </c>
      <c r="C913" s="70" t="s">
        <v>29</v>
      </c>
      <c r="D913" s="104">
        <v>52.1</v>
      </c>
      <c r="E913" s="66"/>
      <c r="F913" s="57"/>
    </row>
    <row r="914" spans="1:28" s="58" customFormat="1" ht="30" hidden="1" customHeight="1" outlineLevel="1" x14ac:dyDescent="0.4">
      <c r="A914" s="54"/>
      <c r="B914" s="48" t="s">
        <v>80</v>
      </c>
      <c r="C914" s="49" t="s">
        <v>74</v>
      </c>
      <c r="D914" s="68">
        <f>D913*0.36*2</f>
        <v>37.512</v>
      </c>
      <c r="E914" s="69">
        <v>3.7999999999999999E-2</v>
      </c>
      <c r="F914" s="57"/>
    </row>
    <row r="915" spans="1:28" s="39" customFormat="1" ht="21" customHeight="1" collapsed="1" x14ac:dyDescent="0.35">
      <c r="A915" s="154" t="s">
        <v>496</v>
      </c>
      <c r="B915" s="154"/>
      <c r="C915" s="154"/>
      <c r="D915" s="154"/>
      <c r="E915" s="154"/>
      <c r="F915" s="34"/>
      <c r="G915" s="35"/>
      <c r="H915" s="36"/>
      <c r="I915" s="37"/>
      <c r="J915" s="37"/>
      <c r="K915" s="38"/>
      <c r="L915" s="38"/>
      <c r="M915" s="38"/>
      <c r="N915" s="36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</row>
    <row r="916" spans="1:28" s="39" customFormat="1" ht="21" customHeight="1" x14ac:dyDescent="0.35">
      <c r="A916" s="158" t="s">
        <v>497</v>
      </c>
      <c r="B916" s="158"/>
      <c r="C916" s="158"/>
      <c r="D916" s="158"/>
      <c r="E916" s="158"/>
      <c r="F916" s="34"/>
      <c r="G916" s="35"/>
      <c r="H916" s="36"/>
      <c r="I916" s="37"/>
      <c r="J916" s="37"/>
      <c r="K916" s="38"/>
      <c r="L916" s="38"/>
      <c r="M916" s="38"/>
      <c r="N916" s="36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</row>
    <row r="917" spans="1:28" ht="36" customHeight="1" x14ac:dyDescent="0.35">
      <c r="A917" s="24">
        <f>A913+1</f>
        <v>393</v>
      </c>
      <c r="B917" s="59" t="s">
        <v>72</v>
      </c>
      <c r="C917" s="26" t="s">
        <v>29</v>
      </c>
      <c r="D917" s="104">
        <f>236.3+224.8+6.6+6.6+3.8+3.8</f>
        <v>481.90000000000009</v>
      </c>
      <c r="E917" s="41"/>
      <c r="F917" s="42"/>
    </row>
    <row r="918" spans="1:28" s="58" customFormat="1" ht="30" hidden="1" customHeight="1" outlineLevel="1" x14ac:dyDescent="0.4">
      <c r="A918" s="54"/>
      <c r="B918" s="48" t="s">
        <v>73</v>
      </c>
      <c r="C918" s="49" t="s">
        <v>74</v>
      </c>
      <c r="D918" s="68">
        <f>3.31*D917</f>
        <v>1595.0890000000004</v>
      </c>
      <c r="E918" s="69">
        <v>1.595</v>
      </c>
      <c r="F918" s="57"/>
    </row>
    <row r="919" spans="1:28" ht="36" customHeight="1" collapsed="1" x14ac:dyDescent="0.35">
      <c r="A919" s="24">
        <f>A917+1</f>
        <v>394</v>
      </c>
      <c r="B919" s="59" t="s">
        <v>75</v>
      </c>
      <c r="C919" s="26" t="s">
        <v>29</v>
      </c>
      <c r="D919" s="104">
        <f>236.3+224.8+6.6+6.6+3.8+3.8</f>
        <v>481.90000000000009</v>
      </c>
      <c r="E919" s="41"/>
      <c r="F919" s="42"/>
    </row>
    <row r="920" spans="1:28" ht="36" customHeight="1" x14ac:dyDescent="0.35">
      <c r="A920" s="24">
        <f>A919+1</f>
        <v>395</v>
      </c>
      <c r="B920" s="59" t="s">
        <v>76</v>
      </c>
      <c r="C920" s="26" t="s">
        <v>29</v>
      </c>
      <c r="D920" s="104">
        <f>236.3+224.8+6.6+6.6+3.8+3.8</f>
        <v>481.90000000000009</v>
      </c>
      <c r="E920" s="41"/>
      <c r="F920" s="42"/>
    </row>
    <row r="921" spans="1:28" s="58" customFormat="1" ht="30" customHeight="1" x14ac:dyDescent="0.4">
      <c r="A921" s="24">
        <f>A920+1</f>
        <v>396</v>
      </c>
      <c r="B921" s="59" t="s">
        <v>77</v>
      </c>
      <c r="C921" s="70" t="s">
        <v>29</v>
      </c>
      <c r="D921" s="104">
        <f>236.3+224.8+6.6+6.6+3.8+3.8</f>
        <v>481.90000000000009</v>
      </c>
      <c r="E921" s="66"/>
      <c r="F921" s="57"/>
    </row>
    <row r="922" spans="1:28" s="58" customFormat="1" ht="30" hidden="1" customHeight="1" outlineLevel="1" x14ac:dyDescent="0.4">
      <c r="A922" s="54"/>
      <c r="B922" s="48" t="s">
        <v>78</v>
      </c>
      <c r="C922" s="49" t="s">
        <v>74</v>
      </c>
      <c r="D922" s="68">
        <f>D921*0.255</f>
        <v>122.88450000000003</v>
      </c>
      <c r="E922" s="69">
        <v>0.123</v>
      </c>
      <c r="F922" s="57"/>
    </row>
    <row r="923" spans="1:28" s="58" customFormat="1" ht="30" customHeight="1" collapsed="1" x14ac:dyDescent="0.4">
      <c r="A923" s="24">
        <f>A921+1</f>
        <v>397</v>
      </c>
      <c r="B923" s="59" t="s">
        <v>79</v>
      </c>
      <c r="C923" s="70" t="s">
        <v>29</v>
      </c>
      <c r="D923" s="104">
        <f>236.3+224.8+6.6+6.6+3.8+3.8</f>
        <v>481.90000000000009</v>
      </c>
      <c r="E923" s="66"/>
      <c r="F923" s="57"/>
    </row>
    <row r="924" spans="1:28" s="58" customFormat="1" ht="30" hidden="1" customHeight="1" outlineLevel="1" x14ac:dyDescent="0.4">
      <c r="A924" s="54"/>
      <c r="B924" s="48" t="s">
        <v>80</v>
      </c>
      <c r="C924" s="49" t="s">
        <v>74</v>
      </c>
      <c r="D924" s="68">
        <f>D923*0.36*2</f>
        <v>346.96800000000007</v>
      </c>
      <c r="E924" s="69">
        <v>0.34699999999999998</v>
      </c>
      <c r="F924" s="57"/>
    </row>
    <row r="925" spans="1:28" s="39" customFormat="1" ht="21" customHeight="1" collapsed="1" x14ac:dyDescent="0.35">
      <c r="A925" s="158" t="s">
        <v>498</v>
      </c>
      <c r="B925" s="158"/>
      <c r="C925" s="158"/>
      <c r="D925" s="158"/>
      <c r="E925" s="158"/>
      <c r="F925" s="34"/>
      <c r="G925" s="35"/>
      <c r="H925" s="36"/>
      <c r="I925" s="37"/>
      <c r="J925" s="37"/>
      <c r="K925" s="38"/>
      <c r="L925" s="38"/>
      <c r="M925" s="38"/>
      <c r="N925" s="36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</row>
    <row r="926" spans="1:28" s="58" customFormat="1" ht="30" customHeight="1" x14ac:dyDescent="0.4">
      <c r="A926" s="24">
        <f>A923+1</f>
        <v>398</v>
      </c>
      <c r="B926" s="59" t="s">
        <v>499</v>
      </c>
      <c r="C926" s="70" t="s">
        <v>58</v>
      </c>
      <c r="D926" s="82">
        <v>1</v>
      </c>
      <c r="E926" s="66"/>
      <c r="F926" s="57"/>
    </row>
    <row r="927" spans="1:28" s="58" customFormat="1" ht="61.75" hidden="1" outlineLevel="1" x14ac:dyDescent="0.4">
      <c r="A927" s="54"/>
      <c r="B927" s="48" t="s">
        <v>500</v>
      </c>
      <c r="C927" s="75" t="s">
        <v>251</v>
      </c>
      <c r="D927" s="54">
        <v>1</v>
      </c>
      <c r="E927" s="69"/>
      <c r="F927" s="57"/>
    </row>
    <row r="928" spans="1:28" s="33" customFormat="1" ht="31" customHeight="1" collapsed="1" x14ac:dyDescent="0.35">
      <c r="A928" s="24">
        <f>A926+1</f>
        <v>399</v>
      </c>
      <c r="B928" s="59" t="s">
        <v>501</v>
      </c>
      <c r="C928" s="26" t="s">
        <v>58</v>
      </c>
      <c r="D928" s="73">
        <v>8</v>
      </c>
      <c r="E928" s="28"/>
      <c r="F928" s="29"/>
      <c r="G928" s="30"/>
      <c r="H928" s="31"/>
      <c r="I928" s="30"/>
      <c r="J928" s="30"/>
      <c r="K928" s="32"/>
      <c r="L928" s="32"/>
      <c r="M928" s="32"/>
      <c r="N928" s="31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</row>
    <row r="929" spans="1:28" s="39" customFormat="1" ht="46.3" hidden="1" outlineLevel="1" x14ac:dyDescent="0.35">
      <c r="A929" s="74"/>
      <c r="B929" s="48" t="s">
        <v>502</v>
      </c>
      <c r="C929" s="49" t="s">
        <v>251</v>
      </c>
      <c r="D929" s="55">
        <v>4</v>
      </c>
      <c r="E929" s="76"/>
      <c r="F929" s="34"/>
      <c r="G929" s="35"/>
      <c r="H929" s="36"/>
      <c r="I929" s="37"/>
      <c r="J929" s="37"/>
      <c r="K929" s="38"/>
      <c r="L929" s="38"/>
      <c r="M929" s="38"/>
      <c r="N929" s="36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</row>
    <row r="930" spans="1:28" s="39" customFormat="1" ht="46.3" hidden="1" outlineLevel="1" x14ac:dyDescent="0.35">
      <c r="A930" s="74"/>
      <c r="B930" s="48" t="s">
        <v>503</v>
      </c>
      <c r="C930" s="49" t="s">
        <v>251</v>
      </c>
      <c r="D930" s="55">
        <v>4</v>
      </c>
      <c r="E930" s="76"/>
      <c r="F930" s="34"/>
      <c r="G930" s="35"/>
      <c r="H930" s="36"/>
      <c r="I930" s="37"/>
      <c r="J930" s="37"/>
      <c r="K930" s="38"/>
      <c r="L930" s="38"/>
      <c r="M930" s="38"/>
      <c r="N930" s="36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</row>
    <row r="931" spans="1:28" s="33" customFormat="1" ht="31" customHeight="1" collapsed="1" x14ac:dyDescent="0.35">
      <c r="A931" s="24">
        <f>A928+1</f>
        <v>400</v>
      </c>
      <c r="B931" s="59" t="s">
        <v>504</v>
      </c>
      <c r="C931" s="26" t="s">
        <v>58</v>
      </c>
      <c r="D931" s="73">
        <v>1</v>
      </c>
      <c r="E931" s="28"/>
      <c r="F931" s="29"/>
      <c r="G931" s="30"/>
      <c r="H931" s="31"/>
      <c r="I931" s="30"/>
      <c r="J931" s="30"/>
      <c r="K931" s="32"/>
      <c r="L931" s="32"/>
      <c r="M931" s="32"/>
      <c r="N931" s="31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</row>
    <row r="932" spans="1:28" s="39" customFormat="1" ht="46.3" hidden="1" outlineLevel="1" x14ac:dyDescent="0.35">
      <c r="A932" s="74"/>
      <c r="B932" s="48" t="s">
        <v>505</v>
      </c>
      <c r="C932" s="49" t="s">
        <v>251</v>
      </c>
      <c r="D932" s="55">
        <v>1</v>
      </c>
      <c r="E932" s="76"/>
      <c r="F932" s="34"/>
      <c r="G932" s="35"/>
      <c r="H932" s="36"/>
      <c r="I932" s="37"/>
      <c r="J932" s="37"/>
      <c r="K932" s="38"/>
      <c r="L932" s="38"/>
      <c r="M932" s="38"/>
      <c r="N932" s="36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</row>
    <row r="933" spans="1:28" s="33" customFormat="1" ht="31" customHeight="1" collapsed="1" x14ac:dyDescent="0.35">
      <c r="A933" s="24">
        <f>A931+1</f>
        <v>401</v>
      </c>
      <c r="B933" s="59" t="s">
        <v>506</v>
      </c>
      <c r="C933" s="26" t="s">
        <v>58</v>
      </c>
      <c r="D933" s="73">
        <v>32</v>
      </c>
      <c r="E933" s="28"/>
      <c r="F933" s="29"/>
      <c r="G933" s="30"/>
      <c r="H933" s="31"/>
      <c r="I933" s="30"/>
      <c r="J933" s="30"/>
      <c r="K933" s="32"/>
      <c r="L933" s="32"/>
      <c r="M933" s="32"/>
      <c r="N933" s="31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</row>
    <row r="934" spans="1:28" s="39" customFormat="1" ht="46.3" hidden="1" outlineLevel="1" x14ac:dyDescent="0.35">
      <c r="A934" s="74"/>
      <c r="B934" s="48" t="s">
        <v>507</v>
      </c>
      <c r="C934" s="49" t="s">
        <v>251</v>
      </c>
      <c r="D934" s="55">
        <v>32</v>
      </c>
      <c r="E934" s="76"/>
      <c r="F934" s="34"/>
      <c r="G934" s="35"/>
      <c r="H934" s="36"/>
      <c r="I934" s="37"/>
      <c r="J934" s="37"/>
      <c r="K934" s="38"/>
      <c r="L934" s="38"/>
      <c r="M934" s="38"/>
      <c r="N934" s="36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</row>
    <row r="935" spans="1:28" s="33" customFormat="1" ht="31" customHeight="1" collapsed="1" x14ac:dyDescent="0.35">
      <c r="A935" s="24">
        <f>A933+1</f>
        <v>402</v>
      </c>
      <c r="B935" s="59" t="s">
        <v>508</v>
      </c>
      <c r="C935" s="26" t="s">
        <v>58</v>
      </c>
      <c r="D935" s="73">
        <v>20</v>
      </c>
      <c r="E935" s="28"/>
      <c r="F935" s="29"/>
      <c r="G935" s="30"/>
      <c r="H935" s="31"/>
      <c r="I935" s="30"/>
      <c r="J935" s="30"/>
      <c r="K935" s="32"/>
      <c r="L935" s="32"/>
      <c r="M935" s="32"/>
      <c r="N935" s="31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</row>
    <row r="936" spans="1:28" s="39" customFormat="1" ht="46.3" hidden="1" outlineLevel="1" x14ac:dyDescent="0.35">
      <c r="A936" s="74"/>
      <c r="B936" s="48" t="s">
        <v>509</v>
      </c>
      <c r="C936" s="49" t="s">
        <v>251</v>
      </c>
      <c r="D936" s="55">
        <v>20</v>
      </c>
      <c r="E936" s="76"/>
      <c r="F936" s="34"/>
      <c r="G936" s="35"/>
      <c r="H936" s="36"/>
      <c r="I936" s="37"/>
      <c r="J936" s="37"/>
      <c r="K936" s="38"/>
      <c r="L936" s="38"/>
      <c r="M936" s="38"/>
      <c r="N936" s="36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</row>
    <row r="937" spans="1:28" s="33" customFormat="1" ht="31" customHeight="1" collapsed="1" x14ac:dyDescent="0.35">
      <c r="A937" s="24">
        <f>A935+1</f>
        <v>403</v>
      </c>
      <c r="B937" s="59" t="s">
        <v>510</v>
      </c>
      <c r="C937" s="26" t="s">
        <v>58</v>
      </c>
      <c r="D937" s="73">
        <v>1</v>
      </c>
      <c r="E937" s="28"/>
      <c r="F937" s="29"/>
      <c r="G937" s="30"/>
      <c r="H937" s="31"/>
      <c r="I937" s="30"/>
      <c r="J937" s="30"/>
      <c r="K937" s="32"/>
      <c r="L937" s="32"/>
      <c r="M937" s="32"/>
      <c r="N937" s="31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</row>
    <row r="938" spans="1:28" s="39" customFormat="1" ht="46.3" hidden="1" outlineLevel="1" x14ac:dyDescent="0.35">
      <c r="A938" s="74"/>
      <c r="B938" s="48" t="s">
        <v>511</v>
      </c>
      <c r="C938" s="49" t="s">
        <v>251</v>
      </c>
      <c r="D938" s="55">
        <v>1</v>
      </c>
      <c r="E938" s="76"/>
      <c r="F938" s="34"/>
      <c r="G938" s="35"/>
      <c r="H938" s="36"/>
      <c r="I938" s="37"/>
      <c r="J938" s="37"/>
      <c r="K938" s="38"/>
      <c r="L938" s="38"/>
      <c r="M938" s="38"/>
      <c r="N938" s="36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</row>
    <row r="939" spans="1:28" s="33" customFormat="1" ht="31" customHeight="1" collapsed="1" x14ac:dyDescent="0.35">
      <c r="A939" s="24">
        <f>A937+1</f>
        <v>404</v>
      </c>
      <c r="B939" s="59" t="s">
        <v>512</v>
      </c>
      <c r="C939" s="26" t="s">
        <v>58</v>
      </c>
      <c r="D939" s="73">
        <v>3</v>
      </c>
      <c r="E939" s="28"/>
      <c r="F939" s="29"/>
      <c r="G939" s="30"/>
      <c r="H939" s="31"/>
      <c r="I939" s="30"/>
      <c r="J939" s="30"/>
      <c r="K939" s="32"/>
      <c r="L939" s="32"/>
      <c r="M939" s="32"/>
      <c r="N939" s="31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</row>
    <row r="940" spans="1:28" s="39" customFormat="1" ht="30.9" hidden="1" outlineLevel="1" x14ac:dyDescent="0.35">
      <c r="A940" s="74"/>
      <c r="B940" s="48" t="s">
        <v>513</v>
      </c>
      <c r="C940" s="49" t="s">
        <v>251</v>
      </c>
      <c r="D940" s="55">
        <v>3</v>
      </c>
      <c r="E940" s="76"/>
      <c r="F940" s="34"/>
      <c r="G940" s="35"/>
      <c r="H940" s="36"/>
      <c r="I940" s="37"/>
      <c r="J940" s="37"/>
      <c r="K940" s="38"/>
      <c r="L940" s="38"/>
      <c r="M940" s="38"/>
      <c r="N940" s="36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</row>
    <row r="941" spans="1:28" s="33" customFormat="1" ht="31" customHeight="1" collapsed="1" x14ac:dyDescent="0.35">
      <c r="A941" s="24">
        <f>A939+1</f>
        <v>405</v>
      </c>
      <c r="B941" s="59" t="s">
        <v>514</v>
      </c>
      <c r="C941" s="26" t="s">
        <v>58</v>
      </c>
      <c r="D941" s="73">
        <v>4</v>
      </c>
      <c r="E941" s="28"/>
      <c r="F941" s="29"/>
      <c r="G941" s="30"/>
      <c r="H941" s="31"/>
      <c r="I941" s="30"/>
      <c r="J941" s="30"/>
      <c r="K941" s="32"/>
      <c r="L941" s="32"/>
      <c r="M941" s="32"/>
      <c r="N941" s="31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</row>
    <row r="942" spans="1:28" s="39" customFormat="1" ht="30.9" hidden="1" outlineLevel="1" x14ac:dyDescent="0.35">
      <c r="A942" s="74"/>
      <c r="B942" s="48" t="s">
        <v>515</v>
      </c>
      <c r="C942" s="49" t="s">
        <v>251</v>
      </c>
      <c r="D942" s="55">
        <v>2</v>
      </c>
      <c r="E942" s="76"/>
      <c r="F942" s="34"/>
      <c r="G942" s="35"/>
      <c r="H942" s="36"/>
      <c r="I942" s="37"/>
      <c r="J942" s="37"/>
      <c r="K942" s="38"/>
      <c r="L942" s="38"/>
      <c r="M942" s="38"/>
      <c r="N942" s="36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</row>
    <row r="943" spans="1:28" s="39" customFormat="1" ht="46.3" hidden="1" outlineLevel="1" x14ac:dyDescent="0.35">
      <c r="A943" s="74"/>
      <c r="B943" s="48" t="s">
        <v>516</v>
      </c>
      <c r="C943" s="49" t="s">
        <v>251</v>
      </c>
      <c r="D943" s="55">
        <v>2</v>
      </c>
      <c r="E943" s="76"/>
      <c r="F943" s="34"/>
      <c r="G943" s="35"/>
      <c r="H943" s="36"/>
      <c r="I943" s="37"/>
      <c r="J943" s="37"/>
      <c r="K943" s="38"/>
      <c r="L943" s="38"/>
      <c r="M943" s="38"/>
      <c r="N943" s="36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</row>
    <row r="944" spans="1:28" s="33" customFormat="1" ht="30.9" collapsed="1" x14ac:dyDescent="0.35">
      <c r="A944" s="24">
        <f>A941+1</f>
        <v>406</v>
      </c>
      <c r="B944" s="71" t="s">
        <v>517</v>
      </c>
      <c r="C944" s="40" t="s">
        <v>132</v>
      </c>
      <c r="D944" s="108">
        <v>50.5</v>
      </c>
      <c r="E944" s="79" t="s">
        <v>151</v>
      </c>
      <c r="F944" s="29"/>
      <c r="G944" s="30"/>
      <c r="H944" s="31"/>
      <c r="I944" s="30"/>
      <c r="J944" s="30"/>
      <c r="K944" s="32"/>
      <c r="L944" s="32"/>
      <c r="M944" s="32"/>
      <c r="N944" s="31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</row>
    <row r="945" spans="1:28" s="39" customFormat="1" ht="36" hidden="1" customHeight="1" outlineLevel="1" x14ac:dyDescent="0.35">
      <c r="A945" s="74"/>
      <c r="B945" s="48" t="s">
        <v>518</v>
      </c>
      <c r="C945" s="49" t="s">
        <v>14</v>
      </c>
      <c r="D945" s="65">
        <f>50.5*2.76/1000*1.1</f>
        <v>0.15331800000000001</v>
      </c>
      <c r="E945" s="76"/>
      <c r="F945" s="34"/>
      <c r="G945" s="35"/>
      <c r="H945" s="36"/>
      <c r="I945" s="37"/>
      <c r="J945" s="37"/>
      <c r="K945" s="38"/>
      <c r="L945" s="38"/>
      <c r="M945" s="38"/>
      <c r="N945" s="36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</row>
    <row r="946" spans="1:28" s="58" customFormat="1" ht="30" hidden="1" customHeight="1" outlineLevel="1" x14ac:dyDescent="0.4">
      <c r="A946" s="54"/>
      <c r="B946" s="48" t="s">
        <v>519</v>
      </c>
      <c r="C946" s="49" t="s">
        <v>58</v>
      </c>
      <c r="D946" s="55">
        <v>1</v>
      </c>
      <c r="E946" s="51">
        <v>1E-3</v>
      </c>
      <c r="F946" s="57"/>
    </row>
    <row r="947" spans="1:28" s="58" customFormat="1" ht="30" hidden="1" customHeight="1" outlineLevel="1" x14ac:dyDescent="0.4">
      <c r="A947" s="54"/>
      <c r="B947" s="48" t="s">
        <v>520</v>
      </c>
      <c r="C947" s="49" t="s">
        <v>58</v>
      </c>
      <c r="D947" s="55">
        <v>1</v>
      </c>
      <c r="E947" s="51">
        <v>1E-3</v>
      </c>
      <c r="F947" s="57"/>
    </row>
    <row r="948" spans="1:28" s="58" customFormat="1" ht="30" hidden="1" customHeight="1" outlineLevel="1" x14ac:dyDescent="0.4">
      <c r="A948" s="54"/>
      <c r="B948" s="48" t="s">
        <v>521</v>
      </c>
      <c r="C948" s="49" t="s">
        <v>58</v>
      </c>
      <c r="D948" s="55">
        <v>16</v>
      </c>
      <c r="E948" s="51">
        <v>3.0000000000000001E-3</v>
      </c>
      <c r="F948" s="57"/>
    </row>
    <row r="949" spans="1:28" s="39" customFormat="1" ht="36" hidden="1" customHeight="1" outlineLevel="1" x14ac:dyDescent="0.35">
      <c r="A949" s="74"/>
      <c r="B949" s="48" t="s">
        <v>522</v>
      </c>
      <c r="C949" s="49" t="s">
        <v>58</v>
      </c>
      <c r="D949" s="49">
        <v>2</v>
      </c>
      <c r="E949" s="78">
        <v>1E-3</v>
      </c>
      <c r="F949" s="34"/>
      <c r="G949" s="35"/>
      <c r="H949" s="36"/>
      <c r="I949" s="37"/>
      <c r="J949" s="37"/>
      <c r="K949" s="38"/>
      <c r="L949" s="38"/>
      <c r="M949" s="38"/>
      <c r="N949" s="36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</row>
    <row r="950" spans="1:28" s="33" customFormat="1" ht="30.9" collapsed="1" x14ac:dyDescent="0.35">
      <c r="A950" s="24">
        <f>A944+1</f>
        <v>407</v>
      </c>
      <c r="B950" s="71" t="s">
        <v>523</v>
      </c>
      <c r="C950" s="40" t="s">
        <v>132</v>
      </c>
      <c r="D950" s="108">
        <v>8</v>
      </c>
      <c r="E950" s="79" t="s">
        <v>151</v>
      </c>
      <c r="F950" s="29"/>
      <c r="G950" s="30"/>
      <c r="H950" s="31"/>
      <c r="I950" s="30"/>
      <c r="J950" s="30"/>
      <c r="K950" s="32"/>
      <c r="L950" s="32"/>
      <c r="M950" s="32"/>
      <c r="N950" s="31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</row>
    <row r="951" spans="1:28" s="39" customFormat="1" ht="36" hidden="1" customHeight="1" outlineLevel="1" x14ac:dyDescent="0.35">
      <c r="A951" s="74"/>
      <c r="B951" s="48" t="s">
        <v>524</v>
      </c>
      <c r="C951" s="49" t="s">
        <v>14</v>
      </c>
      <c r="D951" s="65">
        <f>8*5.23/1000*1.1</f>
        <v>4.6024000000000009E-2</v>
      </c>
      <c r="E951" s="76"/>
      <c r="F951" s="34"/>
      <c r="G951" s="35"/>
      <c r="H951" s="36"/>
      <c r="I951" s="37"/>
      <c r="J951" s="37"/>
      <c r="K951" s="38"/>
      <c r="L951" s="38"/>
      <c r="M951" s="38"/>
      <c r="N951" s="36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</row>
    <row r="952" spans="1:28" s="58" customFormat="1" ht="30" hidden="1" customHeight="1" outlineLevel="1" x14ac:dyDescent="0.4">
      <c r="A952" s="54"/>
      <c r="B952" s="48" t="s">
        <v>525</v>
      </c>
      <c r="C952" s="49" t="s">
        <v>58</v>
      </c>
      <c r="D952" s="55">
        <v>8</v>
      </c>
      <c r="E952" s="51">
        <v>6.0000000000000001E-3</v>
      </c>
      <c r="F952" s="57"/>
    </row>
    <row r="953" spans="1:28" s="39" customFormat="1" ht="36" hidden="1" customHeight="1" outlineLevel="1" x14ac:dyDescent="0.35">
      <c r="A953" s="74"/>
      <c r="B953" s="48" t="s">
        <v>526</v>
      </c>
      <c r="C953" s="49" t="s">
        <v>58</v>
      </c>
      <c r="D953" s="49">
        <v>4</v>
      </c>
      <c r="E953" s="78">
        <v>1.7999999999999999E-2</v>
      </c>
      <c r="F953" s="34"/>
      <c r="G953" s="35"/>
      <c r="H953" s="36"/>
      <c r="I953" s="37"/>
      <c r="J953" s="37"/>
      <c r="K953" s="38"/>
      <c r="L953" s="38"/>
      <c r="M953" s="38"/>
      <c r="N953" s="36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</row>
    <row r="954" spans="1:28" s="39" customFormat="1" ht="36" hidden="1" customHeight="1" outlineLevel="1" x14ac:dyDescent="0.35">
      <c r="A954" s="74"/>
      <c r="B954" s="48" t="s">
        <v>527</v>
      </c>
      <c r="C954" s="49" t="s">
        <v>58</v>
      </c>
      <c r="D954" s="49">
        <v>4</v>
      </c>
      <c r="E954" s="78">
        <v>1.6E-2</v>
      </c>
      <c r="F954" s="34"/>
      <c r="G954" s="35"/>
      <c r="H954" s="36"/>
      <c r="I954" s="37"/>
      <c r="J954" s="37"/>
      <c r="K954" s="38"/>
      <c r="L954" s="38"/>
      <c r="M954" s="38"/>
      <c r="N954" s="36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</row>
    <row r="955" spans="1:28" s="33" customFormat="1" ht="30.9" collapsed="1" x14ac:dyDescent="0.35">
      <c r="A955" s="24">
        <f>A950+1</f>
        <v>408</v>
      </c>
      <c r="B955" s="71" t="s">
        <v>528</v>
      </c>
      <c r="C955" s="40" t="s">
        <v>132</v>
      </c>
      <c r="D955" s="108">
        <v>52</v>
      </c>
      <c r="E955" s="79" t="s">
        <v>151</v>
      </c>
      <c r="F955" s="29"/>
      <c r="G955" s="30"/>
      <c r="H955" s="31"/>
      <c r="I955" s="30"/>
      <c r="J955" s="30"/>
      <c r="K955" s="32"/>
      <c r="L955" s="32"/>
      <c r="M955" s="32"/>
      <c r="N955" s="31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</row>
    <row r="956" spans="1:28" s="39" customFormat="1" ht="36" hidden="1" customHeight="1" outlineLevel="1" x14ac:dyDescent="0.35">
      <c r="A956" s="74"/>
      <c r="B956" s="48" t="s">
        <v>529</v>
      </c>
      <c r="C956" s="49" t="s">
        <v>14</v>
      </c>
      <c r="D956" s="65">
        <f>52*12.28/1000*1.1</f>
        <v>0.70241599999999993</v>
      </c>
      <c r="E956" s="76"/>
      <c r="F956" s="34"/>
      <c r="G956" s="35"/>
      <c r="H956" s="36"/>
      <c r="I956" s="37"/>
      <c r="J956" s="37"/>
      <c r="K956" s="38"/>
      <c r="L956" s="38"/>
      <c r="M956" s="38"/>
      <c r="N956" s="36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</row>
    <row r="957" spans="1:28" s="58" customFormat="1" ht="30" hidden="1" customHeight="1" outlineLevel="1" x14ac:dyDescent="0.4">
      <c r="A957" s="54"/>
      <c r="B957" s="48" t="s">
        <v>530</v>
      </c>
      <c r="C957" s="49" t="s">
        <v>58</v>
      </c>
      <c r="D957" s="55">
        <v>10</v>
      </c>
      <c r="E957" s="51">
        <v>2.3E-2</v>
      </c>
      <c r="F957" s="57"/>
    </row>
    <row r="958" spans="1:28" s="39" customFormat="1" ht="36" hidden="1" customHeight="1" outlineLevel="1" x14ac:dyDescent="0.35">
      <c r="A958" s="74"/>
      <c r="B958" s="48" t="s">
        <v>531</v>
      </c>
      <c r="C958" s="49" t="s">
        <v>58</v>
      </c>
      <c r="D958" s="49">
        <v>1</v>
      </c>
      <c r="E958" s="78">
        <v>2E-3</v>
      </c>
      <c r="F958" s="34"/>
      <c r="G958" s="35"/>
      <c r="H958" s="36"/>
      <c r="I958" s="37"/>
      <c r="J958" s="37"/>
      <c r="K958" s="38"/>
      <c r="L958" s="38"/>
      <c r="M958" s="38"/>
      <c r="N958" s="36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</row>
    <row r="959" spans="1:28" s="39" customFormat="1" ht="36" hidden="1" customHeight="1" outlineLevel="1" x14ac:dyDescent="0.35">
      <c r="A959" s="74"/>
      <c r="B959" s="48" t="s">
        <v>532</v>
      </c>
      <c r="C959" s="49" t="s">
        <v>58</v>
      </c>
      <c r="D959" s="49">
        <v>2</v>
      </c>
      <c r="E959" s="78">
        <v>8.0000000000000002E-3</v>
      </c>
      <c r="F959" s="34"/>
      <c r="G959" s="35"/>
      <c r="H959" s="36"/>
      <c r="I959" s="37"/>
      <c r="J959" s="37"/>
      <c r="K959" s="38"/>
      <c r="L959" s="38"/>
      <c r="M959" s="38"/>
      <c r="N959" s="36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</row>
    <row r="960" spans="1:28" s="33" customFormat="1" ht="30.9" collapsed="1" x14ac:dyDescent="0.35">
      <c r="A960" s="24">
        <f>A955+1</f>
        <v>409</v>
      </c>
      <c r="B960" s="71" t="s">
        <v>533</v>
      </c>
      <c r="C960" s="40" t="s">
        <v>132</v>
      </c>
      <c r="D960" s="108">
        <v>241</v>
      </c>
      <c r="E960" s="79" t="s">
        <v>151</v>
      </c>
      <c r="F960" s="29"/>
      <c r="G960" s="30"/>
      <c r="H960" s="31"/>
      <c r="I960" s="30"/>
      <c r="J960" s="30"/>
      <c r="K960" s="32"/>
      <c r="L960" s="32"/>
      <c r="M960" s="32"/>
      <c r="N960" s="31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</row>
    <row r="961" spans="1:28" s="39" customFormat="1" ht="36" hidden="1" customHeight="1" outlineLevel="1" x14ac:dyDescent="0.35">
      <c r="A961" s="74"/>
      <c r="B961" s="48" t="s">
        <v>534</v>
      </c>
      <c r="C961" s="49" t="s">
        <v>14</v>
      </c>
      <c r="D961" s="65">
        <f>241*15.98/1000*1.1</f>
        <v>4.2362980000000006</v>
      </c>
      <c r="E961" s="76"/>
      <c r="F961" s="34"/>
      <c r="G961" s="35"/>
      <c r="H961" s="36"/>
      <c r="I961" s="37"/>
      <c r="J961" s="37"/>
      <c r="K961" s="38"/>
      <c r="L961" s="38"/>
      <c r="M961" s="38"/>
      <c r="N961" s="36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</row>
    <row r="962" spans="1:28" s="58" customFormat="1" ht="30" hidden="1" customHeight="1" outlineLevel="1" x14ac:dyDescent="0.4">
      <c r="A962" s="54"/>
      <c r="B962" s="48" t="s">
        <v>535</v>
      </c>
      <c r="C962" s="49" t="s">
        <v>58</v>
      </c>
      <c r="D962" s="55">
        <v>57</v>
      </c>
      <c r="E962" s="51">
        <v>0.217</v>
      </c>
      <c r="F962" s="57"/>
    </row>
    <row r="963" spans="1:28" s="39" customFormat="1" ht="36" hidden="1" customHeight="1" outlineLevel="1" x14ac:dyDescent="0.35">
      <c r="A963" s="74"/>
      <c r="B963" s="48" t="s">
        <v>536</v>
      </c>
      <c r="C963" s="49" t="s">
        <v>58</v>
      </c>
      <c r="D963" s="49">
        <v>20</v>
      </c>
      <c r="E963" s="78">
        <v>8.7999999999999995E-2</v>
      </c>
      <c r="F963" s="34"/>
      <c r="G963" s="35"/>
      <c r="H963" s="36"/>
      <c r="I963" s="37"/>
      <c r="J963" s="37"/>
      <c r="K963" s="38"/>
      <c r="L963" s="38"/>
      <c r="M963" s="38"/>
      <c r="N963" s="36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</row>
    <row r="964" spans="1:28" s="39" customFormat="1" ht="36" hidden="1" customHeight="1" outlineLevel="1" x14ac:dyDescent="0.35">
      <c r="A964" s="74"/>
      <c r="B964" s="48" t="s">
        <v>537</v>
      </c>
      <c r="C964" s="49" t="s">
        <v>58</v>
      </c>
      <c r="D964" s="49">
        <v>8</v>
      </c>
      <c r="E964" s="78">
        <v>3.1E-2</v>
      </c>
      <c r="F964" s="34"/>
      <c r="G964" s="35"/>
      <c r="H964" s="36"/>
      <c r="I964" s="37"/>
      <c r="J964" s="37"/>
      <c r="K964" s="38"/>
      <c r="L964" s="38"/>
      <c r="M964" s="38"/>
      <c r="N964" s="36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</row>
    <row r="965" spans="1:28" s="39" customFormat="1" ht="36" hidden="1" customHeight="1" outlineLevel="1" x14ac:dyDescent="0.35">
      <c r="A965" s="74"/>
      <c r="B965" s="48" t="s">
        <v>538</v>
      </c>
      <c r="C965" s="49" t="s">
        <v>58</v>
      </c>
      <c r="D965" s="49">
        <v>4</v>
      </c>
      <c r="E965" s="78">
        <v>3.4000000000000002E-2</v>
      </c>
      <c r="F965" s="34"/>
      <c r="G965" s="35"/>
      <c r="H965" s="36"/>
      <c r="I965" s="37"/>
      <c r="J965" s="37"/>
      <c r="K965" s="38"/>
      <c r="L965" s="38"/>
      <c r="M965" s="38"/>
      <c r="N965" s="36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</row>
    <row r="966" spans="1:28" s="39" customFormat="1" ht="36" hidden="1" customHeight="1" outlineLevel="1" x14ac:dyDescent="0.35">
      <c r="A966" s="74"/>
      <c r="B966" s="48" t="s">
        <v>539</v>
      </c>
      <c r="C966" s="49" t="s">
        <v>58</v>
      </c>
      <c r="D966" s="49">
        <v>1</v>
      </c>
      <c r="E966" s="78">
        <v>1.6E-2</v>
      </c>
      <c r="F966" s="34"/>
      <c r="G966" s="35"/>
      <c r="H966" s="36"/>
      <c r="I966" s="37"/>
      <c r="J966" s="37"/>
      <c r="K966" s="38"/>
      <c r="L966" s="38"/>
      <c r="M966" s="38"/>
      <c r="N966" s="36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</row>
    <row r="967" spans="1:28" s="33" customFormat="1" ht="30.9" collapsed="1" x14ac:dyDescent="0.35">
      <c r="A967" s="24">
        <f>A960+1</f>
        <v>410</v>
      </c>
      <c r="B967" s="71" t="s">
        <v>540</v>
      </c>
      <c r="C967" s="40" t="s">
        <v>132</v>
      </c>
      <c r="D967" s="108">
        <v>146.6</v>
      </c>
      <c r="E967" s="79" t="s">
        <v>151</v>
      </c>
      <c r="F967" s="29"/>
      <c r="G967" s="30"/>
      <c r="H967" s="31"/>
      <c r="I967" s="30"/>
      <c r="J967" s="30"/>
      <c r="K967" s="32"/>
      <c r="L967" s="32"/>
      <c r="M967" s="32"/>
      <c r="N967" s="31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</row>
    <row r="968" spans="1:28" s="39" customFormat="1" ht="36" hidden="1" customHeight="1" outlineLevel="1" x14ac:dyDescent="0.35">
      <c r="A968" s="74"/>
      <c r="B968" s="48" t="s">
        <v>541</v>
      </c>
      <c r="C968" s="49" t="s">
        <v>14</v>
      </c>
      <c r="D968" s="65">
        <f>146.6*22.64/1000*1.1</f>
        <v>3.6509263999999999</v>
      </c>
      <c r="E968" s="76"/>
      <c r="F968" s="34"/>
      <c r="G968" s="35"/>
      <c r="H968" s="36"/>
      <c r="I968" s="37"/>
      <c r="J968" s="37"/>
      <c r="K968" s="38"/>
      <c r="L968" s="38"/>
      <c r="M968" s="38"/>
      <c r="N968" s="36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</row>
    <row r="969" spans="1:28" s="58" customFormat="1" ht="30" hidden="1" customHeight="1" outlineLevel="1" x14ac:dyDescent="0.4">
      <c r="A969" s="54"/>
      <c r="B969" s="48" t="s">
        <v>542</v>
      </c>
      <c r="C969" s="49" t="s">
        <v>58</v>
      </c>
      <c r="D969" s="55">
        <v>24</v>
      </c>
      <c r="E969" s="51">
        <v>0.19400000000000001</v>
      </c>
      <c r="F969" s="57"/>
    </row>
    <row r="970" spans="1:28" s="39" customFormat="1" ht="36" hidden="1" customHeight="1" outlineLevel="1" x14ac:dyDescent="0.35">
      <c r="A970" s="74"/>
      <c r="B970" s="48" t="s">
        <v>543</v>
      </c>
      <c r="C970" s="49" t="s">
        <v>58</v>
      </c>
      <c r="D970" s="49">
        <v>14</v>
      </c>
      <c r="E970" s="78">
        <v>9.1999999999999998E-2</v>
      </c>
      <c r="F970" s="34"/>
      <c r="G970" s="35"/>
      <c r="H970" s="36"/>
      <c r="I970" s="37"/>
      <c r="J970" s="37"/>
      <c r="K970" s="38"/>
      <c r="L970" s="38"/>
      <c r="M970" s="38"/>
      <c r="N970" s="36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</row>
    <row r="971" spans="1:28" s="39" customFormat="1" ht="36" hidden="1" customHeight="1" outlineLevel="1" x14ac:dyDescent="0.35">
      <c r="A971" s="74"/>
      <c r="B971" s="48" t="s">
        <v>544</v>
      </c>
      <c r="C971" s="49" t="s">
        <v>58</v>
      </c>
      <c r="D971" s="49">
        <v>3</v>
      </c>
      <c r="E971" s="78">
        <v>4.2000000000000003E-2</v>
      </c>
      <c r="F971" s="34"/>
      <c r="G971" s="35"/>
      <c r="H971" s="36"/>
      <c r="I971" s="37"/>
      <c r="J971" s="37"/>
      <c r="K971" s="38"/>
      <c r="L971" s="38"/>
      <c r="M971" s="38"/>
      <c r="N971" s="36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</row>
    <row r="972" spans="1:28" s="33" customFormat="1" ht="30.9" collapsed="1" x14ac:dyDescent="0.35">
      <c r="A972" s="24">
        <f>A967+1</f>
        <v>411</v>
      </c>
      <c r="B972" s="71" t="s">
        <v>545</v>
      </c>
      <c r="C972" s="40" t="s">
        <v>132</v>
      </c>
      <c r="D972" s="108">
        <v>3.4</v>
      </c>
      <c r="E972" s="79" t="s">
        <v>151</v>
      </c>
      <c r="F972" s="29"/>
      <c r="G972" s="30"/>
      <c r="H972" s="31"/>
      <c r="I972" s="30"/>
      <c r="J972" s="30"/>
      <c r="K972" s="32"/>
      <c r="L972" s="32"/>
      <c r="M972" s="32"/>
      <c r="N972" s="31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</row>
    <row r="973" spans="1:28" s="39" customFormat="1" ht="36" hidden="1" customHeight="1" outlineLevel="1" x14ac:dyDescent="0.35">
      <c r="A973" s="74"/>
      <c r="B973" s="48" t="s">
        <v>546</v>
      </c>
      <c r="C973" s="49" t="s">
        <v>14</v>
      </c>
      <c r="D973" s="65">
        <f>3.4*41.63/1000*1.1</f>
        <v>0.15569620000000001</v>
      </c>
      <c r="E973" s="76"/>
      <c r="F973" s="34"/>
      <c r="G973" s="35"/>
      <c r="H973" s="36"/>
      <c r="I973" s="37"/>
      <c r="J973" s="37"/>
      <c r="K973" s="38"/>
      <c r="L973" s="38"/>
      <c r="M973" s="38"/>
      <c r="N973" s="36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</row>
    <row r="974" spans="1:28" s="58" customFormat="1" ht="30" hidden="1" customHeight="1" outlineLevel="1" x14ac:dyDescent="0.4">
      <c r="A974" s="54"/>
      <c r="B974" s="48" t="s">
        <v>547</v>
      </c>
      <c r="C974" s="49" t="s">
        <v>58</v>
      </c>
      <c r="D974" s="55">
        <v>2</v>
      </c>
      <c r="E974" s="51">
        <v>0.04</v>
      </c>
      <c r="F974" s="57"/>
    </row>
    <row r="975" spans="1:28" s="39" customFormat="1" ht="36" hidden="1" customHeight="1" outlineLevel="1" x14ac:dyDescent="0.35">
      <c r="A975" s="74"/>
      <c r="B975" s="48" t="s">
        <v>548</v>
      </c>
      <c r="C975" s="49" t="s">
        <v>58</v>
      </c>
      <c r="D975" s="49">
        <v>1</v>
      </c>
      <c r="E975" s="78">
        <v>3.2000000000000001E-2</v>
      </c>
      <c r="F975" s="34"/>
      <c r="G975" s="35"/>
      <c r="H975" s="36"/>
      <c r="I975" s="37"/>
      <c r="J975" s="37"/>
      <c r="K975" s="38"/>
      <c r="L975" s="38"/>
      <c r="M975" s="38"/>
      <c r="N975" s="36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</row>
    <row r="976" spans="1:28" s="33" customFormat="1" ht="31" customHeight="1" collapsed="1" x14ac:dyDescent="0.35">
      <c r="A976" s="24">
        <f>A972+1</f>
        <v>412</v>
      </c>
      <c r="B976" s="71" t="s">
        <v>549</v>
      </c>
      <c r="C976" s="40" t="s">
        <v>132</v>
      </c>
      <c r="D976" s="108">
        <v>6.3</v>
      </c>
      <c r="E976" s="28"/>
      <c r="F976" s="29"/>
      <c r="G976" s="30"/>
      <c r="H976" s="31"/>
      <c r="I976" s="30"/>
      <c r="J976" s="30"/>
      <c r="K976" s="32"/>
      <c r="L976" s="32"/>
      <c r="M976" s="32"/>
      <c r="N976" s="31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</row>
    <row r="977" spans="1:28" s="39" customFormat="1" ht="46.3" hidden="1" outlineLevel="1" x14ac:dyDescent="0.35">
      <c r="A977" s="74"/>
      <c r="B977" s="48" t="s">
        <v>550</v>
      </c>
      <c r="C977" s="49" t="s">
        <v>14</v>
      </c>
      <c r="D977" s="65">
        <f>6.3*15.98/1000*1.1</f>
        <v>0.11074140000000002</v>
      </c>
      <c r="E977" s="76"/>
      <c r="F977" s="34"/>
      <c r="G977" s="35"/>
      <c r="H977" s="36"/>
      <c r="I977" s="37"/>
      <c r="J977" s="37"/>
      <c r="K977" s="38"/>
      <c r="L977" s="38"/>
      <c r="M977" s="38"/>
      <c r="N977" s="36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</row>
    <row r="978" spans="1:28" s="58" customFormat="1" ht="30" customHeight="1" collapsed="1" x14ac:dyDescent="0.4">
      <c r="A978" s="24">
        <f>A976+1</f>
        <v>413</v>
      </c>
      <c r="B978" s="59" t="s">
        <v>158</v>
      </c>
      <c r="C978" s="70" t="s">
        <v>67</v>
      </c>
      <c r="D978" s="40" t="s">
        <v>551</v>
      </c>
      <c r="E978" s="66"/>
      <c r="F978" s="57"/>
    </row>
    <row r="979" spans="1:28" s="58" customFormat="1" ht="30" hidden="1" customHeight="1" outlineLevel="1" x14ac:dyDescent="0.4">
      <c r="A979" s="54"/>
      <c r="B979" s="48" t="s">
        <v>209</v>
      </c>
      <c r="C979" s="49" t="s">
        <v>58</v>
      </c>
      <c r="D979" s="55">
        <v>24</v>
      </c>
      <c r="E979" s="51">
        <v>2.5999999999999999E-2</v>
      </c>
      <c r="F979" s="57"/>
    </row>
    <row r="980" spans="1:28" s="58" customFormat="1" ht="30" hidden="1" customHeight="1" outlineLevel="1" x14ac:dyDescent="0.4">
      <c r="A980" s="54"/>
      <c r="B980" s="48" t="s">
        <v>210</v>
      </c>
      <c r="C980" s="49" t="s">
        <v>58</v>
      </c>
      <c r="D980" s="55">
        <v>4</v>
      </c>
      <c r="E980" s="51">
        <v>8.0000000000000002E-3</v>
      </c>
      <c r="F980" s="57"/>
    </row>
    <row r="981" spans="1:28" s="58" customFormat="1" ht="30" hidden="1" customHeight="1" outlineLevel="1" x14ac:dyDescent="0.4">
      <c r="A981" s="54"/>
      <c r="B981" s="48" t="s">
        <v>426</v>
      </c>
      <c r="C981" s="49" t="s">
        <v>58</v>
      </c>
      <c r="D981" s="55">
        <v>9</v>
      </c>
      <c r="E981" s="51">
        <v>0.02</v>
      </c>
      <c r="F981" s="57"/>
    </row>
    <row r="982" spans="1:28" s="58" customFormat="1" ht="30" hidden="1" customHeight="1" outlineLevel="1" x14ac:dyDescent="0.4">
      <c r="A982" s="54"/>
      <c r="B982" s="48" t="s">
        <v>552</v>
      </c>
      <c r="C982" s="49" t="s">
        <v>58</v>
      </c>
      <c r="D982" s="55">
        <v>71</v>
      </c>
      <c r="E982" s="51">
        <v>0.38300000000000001</v>
      </c>
      <c r="F982" s="57"/>
    </row>
    <row r="983" spans="1:28" s="58" customFormat="1" ht="30" hidden="1" customHeight="1" outlineLevel="1" x14ac:dyDescent="0.4">
      <c r="A983" s="54"/>
      <c r="B983" s="48" t="s">
        <v>553</v>
      </c>
      <c r="C983" s="49" t="s">
        <v>58</v>
      </c>
      <c r="D983" s="55">
        <v>34</v>
      </c>
      <c r="E983" s="51">
        <v>0.23499999999999999</v>
      </c>
      <c r="F983" s="57"/>
    </row>
    <row r="984" spans="1:28" s="58" customFormat="1" ht="30" hidden="1" customHeight="1" outlineLevel="1" x14ac:dyDescent="0.4">
      <c r="A984" s="54"/>
      <c r="B984" s="48" t="s">
        <v>428</v>
      </c>
      <c r="C984" s="49" t="s">
        <v>58</v>
      </c>
      <c r="D984" s="55">
        <v>2</v>
      </c>
      <c r="E984" s="51">
        <v>2.7E-2</v>
      </c>
      <c r="F984" s="57"/>
    </row>
    <row r="985" spans="1:28" s="58" customFormat="1" ht="30" customHeight="1" collapsed="1" x14ac:dyDescent="0.4">
      <c r="A985" s="24">
        <f>A978+1</f>
        <v>414</v>
      </c>
      <c r="B985" s="71" t="s">
        <v>240</v>
      </c>
      <c r="C985" s="40" t="s">
        <v>58</v>
      </c>
      <c r="D985" s="82">
        <v>69</v>
      </c>
      <c r="E985" s="66"/>
      <c r="F985" s="57"/>
    </row>
    <row r="986" spans="1:28" s="58" customFormat="1" ht="30" hidden="1" customHeight="1" outlineLevel="1" x14ac:dyDescent="0.4">
      <c r="A986" s="54"/>
      <c r="B986" s="48" t="s">
        <v>241</v>
      </c>
      <c r="C986" s="49" t="s">
        <v>14</v>
      </c>
      <c r="D986" s="65">
        <f>0.6*1.88*69/1000</f>
        <v>7.7831999999999998E-2</v>
      </c>
      <c r="E986" s="51"/>
      <c r="F986" s="57"/>
    </row>
    <row r="987" spans="1:28" s="58" customFormat="1" ht="30" hidden="1" customHeight="1" outlineLevel="1" x14ac:dyDescent="0.4">
      <c r="A987" s="54"/>
      <c r="B987" s="48" t="s">
        <v>242</v>
      </c>
      <c r="C987" s="49" t="s">
        <v>58</v>
      </c>
      <c r="D987" s="55">
        <f>4*69</f>
        <v>276</v>
      </c>
      <c r="E987" s="51"/>
      <c r="F987" s="57"/>
    </row>
    <row r="988" spans="1:28" s="58" customFormat="1" ht="30" hidden="1" customHeight="1" outlineLevel="1" x14ac:dyDescent="0.4">
      <c r="A988" s="54"/>
      <c r="B988" s="48" t="s">
        <v>243</v>
      </c>
      <c r="C988" s="49" t="s">
        <v>58</v>
      </c>
      <c r="D988" s="55">
        <f>12*69</f>
        <v>828</v>
      </c>
      <c r="E988" s="51"/>
      <c r="F988" s="57"/>
    </row>
    <row r="989" spans="1:28" s="58" customFormat="1" ht="30" hidden="1" customHeight="1" outlineLevel="1" x14ac:dyDescent="0.4">
      <c r="A989" s="54"/>
      <c r="B989" s="48" t="s">
        <v>244</v>
      </c>
      <c r="C989" s="49" t="s">
        <v>58</v>
      </c>
      <c r="D989" s="55">
        <f>4*69</f>
        <v>276</v>
      </c>
      <c r="E989" s="51"/>
      <c r="F989" s="57"/>
    </row>
    <row r="990" spans="1:28" s="58" customFormat="1" ht="30" hidden="1" customHeight="1" outlineLevel="1" x14ac:dyDescent="0.4">
      <c r="A990" s="54"/>
      <c r="B990" s="48" t="s">
        <v>245</v>
      </c>
      <c r="C990" s="49" t="s">
        <v>58</v>
      </c>
      <c r="D990" s="55">
        <f>8*69</f>
        <v>552</v>
      </c>
      <c r="E990" s="51"/>
      <c r="F990" s="57"/>
    </row>
    <row r="991" spans="1:28" s="58" customFormat="1" ht="30" hidden="1" customHeight="1" outlineLevel="1" x14ac:dyDescent="0.4">
      <c r="A991" s="54"/>
      <c r="B991" s="48" t="s">
        <v>246</v>
      </c>
      <c r="C991" s="49" t="s">
        <v>58</v>
      </c>
      <c r="D991" s="55">
        <f>16*69</f>
        <v>1104</v>
      </c>
      <c r="E991" s="51"/>
      <c r="F991" s="57"/>
    </row>
    <row r="992" spans="1:28" s="58" customFormat="1" ht="30" hidden="1" customHeight="1" outlineLevel="1" x14ac:dyDescent="0.4">
      <c r="A992" s="54"/>
      <c r="B992" s="48" t="s">
        <v>247</v>
      </c>
      <c r="C992" s="49" t="s">
        <v>58</v>
      </c>
      <c r="D992" s="55">
        <f>16*69</f>
        <v>1104</v>
      </c>
      <c r="E992" s="51"/>
      <c r="F992" s="57"/>
    </row>
    <row r="993" spans="1:203" s="43" customFormat="1" ht="36" customHeight="1" collapsed="1" x14ac:dyDescent="0.35">
      <c r="A993" s="24">
        <f>A985+1</f>
        <v>415</v>
      </c>
      <c r="B993" s="59" t="s">
        <v>72</v>
      </c>
      <c r="C993" s="26" t="s">
        <v>29</v>
      </c>
      <c r="D993" s="104">
        <f>5.07+1.43+14.53+86.27+73.19+2.34</f>
        <v>182.83</v>
      </c>
      <c r="E993" s="41"/>
      <c r="F993" s="42"/>
      <c r="H993" s="44"/>
      <c r="K993" s="45"/>
      <c r="L993" s="45"/>
      <c r="M993" s="45"/>
      <c r="N993" s="44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46"/>
      <c r="DP993" s="46"/>
      <c r="DQ993" s="46"/>
      <c r="DR993" s="46"/>
      <c r="DS993" s="46"/>
      <c r="DT993" s="46"/>
      <c r="DU993" s="46"/>
      <c r="DV993" s="46"/>
      <c r="DW993" s="46"/>
      <c r="DX993" s="46"/>
      <c r="DY993" s="46"/>
      <c r="DZ993" s="46"/>
      <c r="EA993" s="46"/>
      <c r="EB993" s="46"/>
      <c r="EC993" s="46"/>
      <c r="ED993" s="46"/>
      <c r="EE993" s="46"/>
      <c r="EF993" s="46"/>
      <c r="EG993" s="46"/>
      <c r="EH993" s="46"/>
      <c r="EI993" s="46"/>
      <c r="EJ993" s="46"/>
      <c r="EK993" s="46"/>
      <c r="EL993" s="46"/>
      <c r="EM993" s="46"/>
      <c r="EN993" s="46"/>
      <c r="EO993" s="46"/>
      <c r="EP993" s="46"/>
      <c r="EQ993" s="46"/>
      <c r="ER993" s="46"/>
      <c r="ES993" s="46"/>
      <c r="ET993" s="46"/>
      <c r="EU993" s="46"/>
      <c r="EV993" s="46"/>
      <c r="EW993" s="46"/>
      <c r="EX993" s="46"/>
      <c r="EY993" s="46"/>
      <c r="EZ993" s="46"/>
      <c r="FA993" s="46"/>
      <c r="FB993" s="46"/>
      <c r="FC993" s="46"/>
      <c r="FD993" s="46"/>
      <c r="FE993" s="46"/>
      <c r="FF993" s="46"/>
      <c r="FG993" s="46"/>
      <c r="FH993" s="46"/>
      <c r="FI993" s="46"/>
      <c r="FJ993" s="46"/>
      <c r="FK993" s="46"/>
      <c r="FL993" s="46"/>
      <c r="FM993" s="46"/>
      <c r="FN993" s="46"/>
      <c r="FO993" s="46"/>
      <c r="FP993" s="46"/>
      <c r="FQ993" s="46"/>
      <c r="FR993" s="46"/>
      <c r="FS993" s="46"/>
      <c r="FT993" s="46"/>
      <c r="FU993" s="46"/>
      <c r="FV993" s="46"/>
      <c r="FW993" s="46"/>
      <c r="FX993" s="46"/>
      <c r="FY993" s="46"/>
      <c r="FZ993" s="46"/>
      <c r="GA993" s="46"/>
      <c r="GB993" s="46"/>
      <c r="GC993" s="46"/>
      <c r="GD993" s="46"/>
      <c r="GE993" s="46"/>
      <c r="GF993" s="46"/>
      <c r="GG993" s="46"/>
      <c r="GH993" s="46"/>
      <c r="GI993" s="46"/>
      <c r="GJ993" s="46"/>
      <c r="GK993" s="46"/>
      <c r="GL993" s="46"/>
      <c r="GM993" s="46"/>
      <c r="GN993" s="46"/>
      <c r="GO993" s="46"/>
      <c r="GP993" s="46"/>
      <c r="GQ993" s="46"/>
      <c r="GR993" s="46"/>
      <c r="GS993" s="46"/>
      <c r="GT993" s="46"/>
      <c r="GU993" s="46"/>
    </row>
    <row r="994" spans="1:203" s="58" customFormat="1" ht="30" hidden="1" customHeight="1" outlineLevel="1" x14ac:dyDescent="0.4">
      <c r="A994" s="54"/>
      <c r="B994" s="48" t="s">
        <v>73</v>
      </c>
      <c r="C994" s="49" t="s">
        <v>74</v>
      </c>
      <c r="D994" s="68">
        <f>3.31*D993</f>
        <v>605.16730000000007</v>
      </c>
      <c r="E994" s="69">
        <v>0.60499999999999998</v>
      </c>
      <c r="F994" s="57"/>
    </row>
    <row r="995" spans="1:203" s="45" customFormat="1" ht="36" customHeight="1" collapsed="1" x14ac:dyDescent="0.35">
      <c r="A995" s="24">
        <f>A993+1</f>
        <v>416</v>
      </c>
      <c r="B995" s="59" t="s">
        <v>75</v>
      </c>
      <c r="C995" s="26" t="s">
        <v>29</v>
      </c>
      <c r="D995" s="104">
        <f>5.07+1.43+14.53+86.27+73.19+2.34</f>
        <v>182.83</v>
      </c>
      <c r="E995" s="41"/>
      <c r="F995" s="42"/>
      <c r="G995" s="43"/>
      <c r="H995" s="44"/>
      <c r="I995" s="43"/>
      <c r="J995" s="43"/>
      <c r="N995" s="44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46"/>
      <c r="DP995" s="46"/>
      <c r="DQ995" s="46"/>
      <c r="DR995" s="46"/>
      <c r="DS995" s="46"/>
      <c r="DT995" s="46"/>
      <c r="DU995" s="46"/>
      <c r="DV995" s="46"/>
      <c r="DW995" s="46"/>
      <c r="DX995" s="46"/>
      <c r="DY995" s="46"/>
      <c r="DZ995" s="46"/>
      <c r="EA995" s="46"/>
      <c r="EB995" s="46"/>
      <c r="EC995" s="46"/>
      <c r="ED995" s="46"/>
      <c r="EE995" s="46"/>
      <c r="EF995" s="46"/>
      <c r="EG995" s="46"/>
      <c r="EH995" s="46"/>
      <c r="EI995" s="46"/>
      <c r="EJ995" s="46"/>
      <c r="EK995" s="46"/>
      <c r="EL995" s="46"/>
      <c r="EM995" s="46"/>
      <c r="EN995" s="46"/>
      <c r="EO995" s="46"/>
      <c r="EP995" s="46"/>
      <c r="EQ995" s="46"/>
      <c r="ER995" s="46"/>
      <c r="ES995" s="46"/>
      <c r="ET995" s="46"/>
      <c r="EU995" s="46"/>
      <c r="EV995" s="46"/>
      <c r="EW995" s="46"/>
      <c r="EX995" s="46"/>
      <c r="EY995" s="46"/>
      <c r="EZ995" s="46"/>
      <c r="FA995" s="46"/>
      <c r="FB995" s="46"/>
      <c r="FC995" s="46"/>
      <c r="FD995" s="46"/>
      <c r="FE995" s="46"/>
      <c r="FF995" s="46"/>
      <c r="FG995" s="46"/>
      <c r="FH995" s="46"/>
      <c r="FI995" s="46"/>
      <c r="FJ995" s="46"/>
      <c r="FK995" s="46"/>
      <c r="FL995" s="46"/>
      <c r="FM995" s="46"/>
      <c r="FN995" s="46"/>
      <c r="FO995" s="46"/>
      <c r="FP995" s="46"/>
      <c r="FQ995" s="46"/>
      <c r="FR995" s="46"/>
      <c r="FS995" s="46"/>
      <c r="FT995" s="46"/>
      <c r="FU995" s="46"/>
      <c r="FV995" s="46"/>
      <c r="FW995" s="46"/>
      <c r="FX995" s="46"/>
      <c r="FY995" s="46"/>
      <c r="FZ995" s="46"/>
      <c r="GA995" s="46"/>
      <c r="GB995" s="46"/>
      <c r="GC995" s="46"/>
      <c r="GD995" s="46"/>
      <c r="GE995" s="46"/>
      <c r="GF995" s="46"/>
      <c r="GG995" s="46"/>
      <c r="GH995" s="46"/>
      <c r="GI995" s="46"/>
      <c r="GJ995" s="46"/>
      <c r="GK995" s="46"/>
      <c r="GL995" s="46"/>
      <c r="GM995" s="46"/>
      <c r="GN995" s="46"/>
      <c r="GO995" s="46"/>
      <c r="GP995" s="46"/>
      <c r="GQ995" s="46"/>
      <c r="GR995" s="46"/>
      <c r="GS995" s="46"/>
      <c r="GT995" s="46"/>
      <c r="GU995" s="46"/>
    </row>
    <row r="996" spans="1:203" s="45" customFormat="1" ht="36" customHeight="1" x14ac:dyDescent="0.35">
      <c r="A996" s="24">
        <f>A995+1</f>
        <v>417</v>
      </c>
      <c r="B996" s="59" t="s">
        <v>76</v>
      </c>
      <c r="C996" s="26" t="s">
        <v>29</v>
      </c>
      <c r="D996" s="104">
        <f>5.07+1.43+14.53+86.27+73.19+2.34</f>
        <v>182.83</v>
      </c>
      <c r="E996" s="41"/>
      <c r="F996" s="42"/>
      <c r="G996" s="43"/>
      <c r="H996" s="44"/>
      <c r="I996" s="43"/>
      <c r="J996" s="43"/>
      <c r="N996" s="44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6"/>
      <c r="DF996" s="46"/>
      <c r="DG996" s="46"/>
      <c r="DH996" s="46"/>
      <c r="DI996" s="46"/>
      <c r="DJ996" s="46"/>
      <c r="DK996" s="46"/>
      <c r="DL996" s="46"/>
      <c r="DM996" s="46"/>
      <c r="DN996" s="46"/>
      <c r="DO996" s="46"/>
      <c r="DP996" s="46"/>
      <c r="DQ996" s="46"/>
      <c r="DR996" s="46"/>
      <c r="DS996" s="46"/>
      <c r="DT996" s="46"/>
      <c r="DU996" s="46"/>
      <c r="DV996" s="46"/>
      <c r="DW996" s="46"/>
      <c r="DX996" s="46"/>
      <c r="DY996" s="46"/>
      <c r="DZ996" s="46"/>
      <c r="EA996" s="46"/>
      <c r="EB996" s="46"/>
      <c r="EC996" s="46"/>
      <c r="ED996" s="46"/>
      <c r="EE996" s="46"/>
      <c r="EF996" s="46"/>
      <c r="EG996" s="46"/>
      <c r="EH996" s="46"/>
      <c r="EI996" s="46"/>
      <c r="EJ996" s="46"/>
      <c r="EK996" s="46"/>
      <c r="EL996" s="46"/>
      <c r="EM996" s="46"/>
      <c r="EN996" s="46"/>
      <c r="EO996" s="46"/>
      <c r="EP996" s="46"/>
      <c r="EQ996" s="46"/>
      <c r="ER996" s="46"/>
      <c r="ES996" s="46"/>
      <c r="ET996" s="46"/>
      <c r="EU996" s="46"/>
      <c r="EV996" s="46"/>
      <c r="EW996" s="46"/>
      <c r="EX996" s="46"/>
      <c r="EY996" s="46"/>
      <c r="EZ996" s="46"/>
      <c r="FA996" s="46"/>
      <c r="FB996" s="46"/>
      <c r="FC996" s="46"/>
      <c r="FD996" s="46"/>
      <c r="FE996" s="46"/>
      <c r="FF996" s="46"/>
      <c r="FG996" s="46"/>
      <c r="FH996" s="46"/>
      <c r="FI996" s="46"/>
      <c r="FJ996" s="46"/>
      <c r="FK996" s="46"/>
      <c r="FL996" s="46"/>
      <c r="FM996" s="46"/>
      <c r="FN996" s="46"/>
      <c r="FO996" s="46"/>
      <c r="FP996" s="46"/>
      <c r="FQ996" s="46"/>
      <c r="FR996" s="46"/>
      <c r="FS996" s="46"/>
      <c r="FT996" s="46"/>
      <c r="FU996" s="46"/>
      <c r="FV996" s="46"/>
      <c r="FW996" s="46"/>
      <c r="FX996" s="46"/>
      <c r="FY996" s="46"/>
      <c r="FZ996" s="46"/>
      <c r="GA996" s="46"/>
      <c r="GB996" s="46"/>
      <c r="GC996" s="46"/>
      <c r="GD996" s="46"/>
      <c r="GE996" s="46"/>
      <c r="GF996" s="46"/>
      <c r="GG996" s="46"/>
      <c r="GH996" s="46"/>
      <c r="GI996" s="46"/>
      <c r="GJ996" s="46"/>
      <c r="GK996" s="46"/>
      <c r="GL996" s="46"/>
      <c r="GM996" s="46"/>
      <c r="GN996" s="46"/>
      <c r="GO996" s="46"/>
      <c r="GP996" s="46"/>
      <c r="GQ996" s="46"/>
      <c r="GR996" s="46"/>
      <c r="GS996" s="46"/>
      <c r="GT996" s="46"/>
      <c r="GU996" s="46"/>
    </row>
    <row r="997" spans="1:203" s="58" customFormat="1" ht="30" customHeight="1" x14ac:dyDescent="0.4">
      <c r="A997" s="24">
        <f>A996+1</f>
        <v>418</v>
      </c>
      <c r="B997" s="59" t="s">
        <v>77</v>
      </c>
      <c r="C997" s="70" t="s">
        <v>29</v>
      </c>
      <c r="D997" s="104">
        <f>5.07+1.43+14.53+86.27+73.19+2.34</f>
        <v>182.83</v>
      </c>
      <c r="E997" s="66"/>
      <c r="F997" s="57"/>
    </row>
    <row r="998" spans="1:203" s="58" customFormat="1" ht="30" hidden="1" customHeight="1" outlineLevel="1" x14ac:dyDescent="0.4">
      <c r="A998" s="54"/>
      <c r="B998" s="48" t="s">
        <v>78</v>
      </c>
      <c r="C998" s="49" t="s">
        <v>74</v>
      </c>
      <c r="D998" s="68">
        <f>D997*0.255</f>
        <v>46.621650000000002</v>
      </c>
      <c r="E998" s="69">
        <v>4.7E-2</v>
      </c>
      <c r="F998" s="57"/>
    </row>
    <row r="999" spans="1:203" s="58" customFormat="1" ht="30" customHeight="1" collapsed="1" x14ac:dyDescent="0.4">
      <c r="A999" s="24">
        <f>A997+1</f>
        <v>419</v>
      </c>
      <c r="B999" s="59" t="s">
        <v>79</v>
      </c>
      <c r="C999" s="70" t="s">
        <v>29</v>
      </c>
      <c r="D999" s="104">
        <f>5.07+1.43+14.53+86.27+73.19+2.34</f>
        <v>182.83</v>
      </c>
      <c r="E999" s="66"/>
      <c r="F999" s="57"/>
    </row>
    <row r="1000" spans="1:203" s="58" customFormat="1" ht="30" hidden="1" customHeight="1" outlineLevel="1" x14ac:dyDescent="0.4">
      <c r="A1000" s="54"/>
      <c r="B1000" s="48" t="s">
        <v>80</v>
      </c>
      <c r="C1000" s="49" t="s">
        <v>74</v>
      </c>
      <c r="D1000" s="68">
        <f>D999*0.36*2</f>
        <v>131.63759999999999</v>
      </c>
      <c r="E1000" s="69">
        <v>0.13200000000000001</v>
      </c>
      <c r="F1000" s="57"/>
    </row>
    <row r="1001" spans="1:203" s="58" customFormat="1" ht="30" customHeight="1" collapsed="1" x14ac:dyDescent="0.4">
      <c r="A1001" s="24">
        <f>A999+1</f>
        <v>420</v>
      </c>
      <c r="B1001" s="59" t="s">
        <v>368</v>
      </c>
      <c r="C1001" s="70" t="s">
        <v>58</v>
      </c>
      <c r="D1001" s="40">
        <v>69</v>
      </c>
      <c r="E1001" s="66"/>
      <c r="F1001" s="57"/>
    </row>
    <row r="1002" spans="1:203" s="58" customFormat="1" ht="30" hidden="1" customHeight="1" outlineLevel="1" x14ac:dyDescent="0.4">
      <c r="A1002" s="54"/>
      <c r="B1002" s="48" t="s">
        <v>554</v>
      </c>
      <c r="C1002" s="49" t="s">
        <v>58</v>
      </c>
      <c r="D1002" s="75">
        <v>7</v>
      </c>
      <c r="E1002" s="51"/>
      <c r="F1002" s="57"/>
    </row>
    <row r="1003" spans="1:203" s="58" customFormat="1" ht="30" hidden="1" customHeight="1" outlineLevel="1" x14ac:dyDescent="0.4">
      <c r="A1003" s="54"/>
      <c r="B1003" s="48" t="s">
        <v>555</v>
      </c>
      <c r="C1003" s="49" t="s">
        <v>58</v>
      </c>
      <c r="D1003" s="75">
        <v>8</v>
      </c>
      <c r="E1003" s="51"/>
      <c r="F1003" s="57"/>
    </row>
    <row r="1004" spans="1:203" s="58" customFormat="1" ht="30" hidden="1" customHeight="1" outlineLevel="1" x14ac:dyDescent="0.4">
      <c r="A1004" s="54"/>
      <c r="B1004" s="48" t="s">
        <v>556</v>
      </c>
      <c r="C1004" s="49" t="s">
        <v>58</v>
      </c>
      <c r="D1004" s="75">
        <v>1</v>
      </c>
      <c r="E1004" s="51"/>
      <c r="F1004" s="57"/>
    </row>
    <row r="1005" spans="1:203" s="58" customFormat="1" ht="30" hidden="1" customHeight="1" outlineLevel="1" x14ac:dyDescent="0.4">
      <c r="A1005" s="54"/>
      <c r="B1005" s="48" t="s">
        <v>557</v>
      </c>
      <c r="C1005" s="49" t="s">
        <v>58</v>
      </c>
      <c r="D1005" s="75">
        <v>32</v>
      </c>
      <c r="E1005" s="51"/>
      <c r="F1005" s="57"/>
    </row>
    <row r="1006" spans="1:203" s="58" customFormat="1" ht="30" hidden="1" customHeight="1" outlineLevel="1" x14ac:dyDescent="0.4">
      <c r="A1006" s="54"/>
      <c r="B1006" s="48" t="s">
        <v>558</v>
      </c>
      <c r="C1006" s="49" t="s">
        <v>58</v>
      </c>
      <c r="D1006" s="75">
        <v>20</v>
      </c>
      <c r="E1006" s="51"/>
      <c r="F1006" s="57"/>
    </row>
    <row r="1007" spans="1:203" s="58" customFormat="1" ht="30" hidden="1" customHeight="1" outlineLevel="1" x14ac:dyDescent="0.4">
      <c r="A1007" s="54"/>
      <c r="B1007" s="48" t="s">
        <v>559</v>
      </c>
      <c r="C1007" s="49" t="s">
        <v>58</v>
      </c>
      <c r="D1007" s="75">
        <v>1</v>
      </c>
      <c r="E1007" s="51"/>
      <c r="F1007" s="57"/>
    </row>
    <row r="1008" spans="1:203" s="58" customFormat="1" ht="46.3" collapsed="1" x14ac:dyDescent="0.4">
      <c r="A1008" s="24">
        <f>A1001+1</f>
        <v>421</v>
      </c>
      <c r="B1008" s="59" t="s">
        <v>364</v>
      </c>
      <c r="C1008" s="70" t="s">
        <v>19</v>
      </c>
      <c r="D1008" s="67">
        <v>16.8</v>
      </c>
      <c r="E1008" s="66"/>
      <c r="F1008" s="57"/>
    </row>
    <row r="1009" spans="1:10" s="58" customFormat="1" ht="30.9" hidden="1" outlineLevel="1" x14ac:dyDescent="0.4">
      <c r="A1009" s="54"/>
      <c r="B1009" s="48" t="s">
        <v>365</v>
      </c>
      <c r="C1009" s="49" t="s">
        <v>19</v>
      </c>
      <c r="D1009" s="68">
        <v>16.8</v>
      </c>
      <c r="E1009" s="69">
        <v>1E-3</v>
      </c>
      <c r="F1009" s="57"/>
      <c r="J1009" s="58">
        <v>1.08</v>
      </c>
    </row>
    <row r="1010" spans="1:10" s="58" customFormat="1" ht="30" customHeight="1" collapsed="1" x14ac:dyDescent="0.4">
      <c r="A1010" s="24">
        <f>A1008+1</f>
        <v>422</v>
      </c>
      <c r="B1010" s="59" t="s">
        <v>366</v>
      </c>
      <c r="C1010" s="70" t="s">
        <v>29</v>
      </c>
      <c r="D1010" s="67">
        <v>283.18</v>
      </c>
      <c r="E1010" s="66"/>
      <c r="F1010" s="57"/>
    </row>
    <row r="1011" spans="1:10" s="58" customFormat="1" ht="30" hidden="1" customHeight="1" outlineLevel="1" x14ac:dyDescent="0.4">
      <c r="A1011" s="54"/>
      <c r="B1011" s="48" t="s">
        <v>367</v>
      </c>
      <c r="C1011" s="49" t="s">
        <v>29</v>
      </c>
      <c r="D1011" s="68">
        <v>283.2</v>
      </c>
      <c r="E1011" s="69"/>
      <c r="F1011" s="57"/>
      <c r="J1011" s="58">
        <v>1.22</v>
      </c>
    </row>
    <row r="1012" spans="1:10" ht="30" customHeight="1" collapsed="1" x14ac:dyDescent="0.35">
      <c r="A1012" s="24">
        <f>A1010+1</f>
        <v>423</v>
      </c>
      <c r="B1012" s="59" t="s">
        <v>560</v>
      </c>
      <c r="C1012" s="70" t="s">
        <v>561</v>
      </c>
      <c r="D1012" s="40">
        <v>47</v>
      </c>
      <c r="E1012" s="66"/>
      <c r="F1012" s="42"/>
    </row>
    <row r="1013" spans="1:10" ht="31" customHeight="1" x14ac:dyDescent="0.35">
      <c r="A1013" s="24">
        <f>A1012+1</f>
        <v>424</v>
      </c>
      <c r="B1013" s="25" t="s">
        <v>562</v>
      </c>
      <c r="C1013" s="70" t="s">
        <v>561</v>
      </c>
      <c r="D1013" s="26">
        <v>60</v>
      </c>
      <c r="E1013" s="41"/>
      <c r="F1013" s="42"/>
    </row>
    <row r="1014" spans="1:10" ht="31" customHeight="1" x14ac:dyDescent="0.35">
      <c r="A1014" s="24">
        <f>A1013+1</f>
        <v>425</v>
      </c>
      <c r="B1014" s="25" t="s">
        <v>563</v>
      </c>
      <c r="C1014" s="70" t="s">
        <v>561</v>
      </c>
      <c r="D1014" s="26">
        <v>211</v>
      </c>
      <c r="E1014" s="41"/>
      <c r="F1014" s="42"/>
    </row>
    <row r="1015" spans="1:10" ht="31" customHeight="1" x14ac:dyDescent="0.35">
      <c r="A1015" s="24">
        <f>A1014+1</f>
        <v>426</v>
      </c>
      <c r="B1015" s="25" t="s">
        <v>564</v>
      </c>
      <c r="C1015" s="70" t="s">
        <v>561</v>
      </c>
      <c r="D1015" s="26">
        <v>113</v>
      </c>
      <c r="E1015" s="41"/>
      <c r="F1015" s="42"/>
    </row>
    <row r="1016" spans="1:10" ht="30" customHeight="1" x14ac:dyDescent="0.35">
      <c r="A1016" s="24">
        <f>A1015+1</f>
        <v>427</v>
      </c>
      <c r="B1016" s="59" t="s">
        <v>565</v>
      </c>
      <c r="C1016" s="70" t="s">
        <v>561</v>
      </c>
      <c r="D1016" s="40">
        <v>47</v>
      </c>
      <c r="E1016" s="66"/>
      <c r="F1016" s="42"/>
    </row>
    <row r="1017" spans="1:10" ht="31" customHeight="1" x14ac:dyDescent="0.35">
      <c r="A1017" s="24">
        <f>A1016+1</f>
        <v>428</v>
      </c>
      <c r="B1017" s="25" t="s">
        <v>566</v>
      </c>
      <c r="C1017" s="70" t="s">
        <v>561</v>
      </c>
      <c r="D1017" s="26">
        <v>60</v>
      </c>
      <c r="E1017" s="41"/>
      <c r="F1017" s="42"/>
    </row>
    <row r="1018" spans="1:10" ht="31" customHeight="1" x14ac:dyDescent="0.35">
      <c r="A1018" s="24">
        <f t="shared" ref="A1018:A1024" si="4">A1017+1</f>
        <v>429</v>
      </c>
      <c r="B1018" s="25" t="s">
        <v>567</v>
      </c>
      <c r="C1018" s="70" t="s">
        <v>561</v>
      </c>
      <c r="D1018" s="26">
        <v>211</v>
      </c>
      <c r="E1018" s="41"/>
      <c r="F1018" s="42"/>
    </row>
    <row r="1019" spans="1:10" ht="31" customHeight="1" x14ac:dyDescent="0.35">
      <c r="A1019" s="24">
        <f t="shared" si="4"/>
        <v>430</v>
      </c>
      <c r="B1019" s="25" t="s">
        <v>568</v>
      </c>
      <c r="C1019" s="70" t="s">
        <v>561</v>
      </c>
      <c r="D1019" s="26">
        <v>113</v>
      </c>
      <c r="E1019" s="41"/>
      <c r="F1019" s="42"/>
    </row>
    <row r="1020" spans="1:10" ht="31" customHeight="1" x14ac:dyDescent="0.35">
      <c r="A1020" s="24">
        <f t="shared" si="4"/>
        <v>431</v>
      </c>
      <c r="B1020" s="25" t="s">
        <v>569</v>
      </c>
      <c r="C1020" s="89" t="s">
        <v>570</v>
      </c>
      <c r="D1020" s="26">
        <v>94</v>
      </c>
      <c r="E1020" s="41"/>
      <c r="F1020" s="42"/>
    </row>
    <row r="1021" spans="1:10" ht="31" customHeight="1" x14ac:dyDescent="0.35">
      <c r="A1021" s="24">
        <f t="shared" si="4"/>
        <v>432</v>
      </c>
      <c r="B1021" s="25" t="s">
        <v>571</v>
      </c>
      <c r="C1021" s="89" t="s">
        <v>570</v>
      </c>
      <c r="D1021" s="26">
        <v>60</v>
      </c>
      <c r="E1021" s="41"/>
      <c r="F1021" s="42"/>
    </row>
    <row r="1022" spans="1:10" ht="31" customHeight="1" x14ac:dyDescent="0.35">
      <c r="A1022" s="24">
        <f t="shared" si="4"/>
        <v>433</v>
      </c>
      <c r="B1022" s="25" t="s">
        <v>572</v>
      </c>
      <c r="C1022" s="89" t="s">
        <v>570</v>
      </c>
      <c r="D1022" s="26">
        <v>60</v>
      </c>
      <c r="E1022" s="41"/>
      <c r="F1022" s="42"/>
    </row>
    <row r="1023" spans="1:10" ht="31" customHeight="1" x14ac:dyDescent="0.35">
      <c r="A1023" s="24">
        <f t="shared" si="4"/>
        <v>434</v>
      </c>
      <c r="B1023" s="25" t="s">
        <v>573</v>
      </c>
      <c r="C1023" s="89" t="s">
        <v>570</v>
      </c>
      <c r="D1023" s="26">
        <v>422</v>
      </c>
      <c r="E1023" s="41"/>
      <c r="F1023" s="42"/>
    </row>
    <row r="1024" spans="1:10" ht="31" customHeight="1" x14ac:dyDescent="0.35">
      <c r="A1024" s="24">
        <f t="shared" si="4"/>
        <v>435</v>
      </c>
      <c r="B1024" s="25" t="s">
        <v>574</v>
      </c>
      <c r="C1024" s="89" t="s">
        <v>570</v>
      </c>
      <c r="D1024" s="26">
        <v>226</v>
      </c>
      <c r="E1024" s="41"/>
      <c r="F1024" s="42"/>
    </row>
    <row r="1025" spans="1:28" s="39" customFormat="1" ht="21" customHeight="1" x14ac:dyDescent="0.35">
      <c r="A1025" s="158" t="s">
        <v>575</v>
      </c>
      <c r="B1025" s="158"/>
      <c r="C1025" s="158"/>
      <c r="D1025" s="158"/>
      <c r="E1025" s="158"/>
      <c r="F1025" s="34"/>
      <c r="G1025" s="35"/>
      <c r="H1025" s="36"/>
      <c r="I1025" s="37"/>
      <c r="J1025" s="37"/>
      <c r="K1025" s="38"/>
      <c r="L1025" s="38"/>
      <c r="M1025" s="38"/>
      <c r="N1025" s="36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</row>
    <row r="1026" spans="1:28" s="58" customFormat="1" ht="30" customHeight="1" x14ac:dyDescent="0.4">
      <c r="A1026" s="72">
        <f>A1024+1</f>
        <v>436</v>
      </c>
      <c r="B1026" s="25" t="s">
        <v>308</v>
      </c>
      <c r="C1026" s="89" t="s">
        <v>19</v>
      </c>
      <c r="D1026" s="105">
        <f>0.7*0.5*94.4</f>
        <v>33.04</v>
      </c>
      <c r="E1026" s="91"/>
      <c r="F1026" s="57"/>
    </row>
    <row r="1027" spans="1:28" s="58" customFormat="1" ht="30" customHeight="1" x14ac:dyDescent="0.4">
      <c r="A1027" s="72">
        <f>A1026+1</f>
        <v>437</v>
      </c>
      <c r="B1027" s="25" t="s">
        <v>309</v>
      </c>
      <c r="C1027" s="89" t="s">
        <v>19</v>
      </c>
      <c r="D1027" s="105">
        <f>0.7*0.5*94.4</f>
        <v>33.04</v>
      </c>
      <c r="E1027" s="91"/>
      <c r="F1027" s="57"/>
    </row>
    <row r="1028" spans="1:28" s="58" customFormat="1" ht="30" customHeight="1" x14ac:dyDescent="0.4">
      <c r="A1028" s="24">
        <f>A1027+1</f>
        <v>438</v>
      </c>
      <c r="B1028" s="25" t="s">
        <v>310</v>
      </c>
      <c r="C1028" s="89" t="s">
        <v>19</v>
      </c>
      <c r="D1028" s="105">
        <f>0.7*0.5*94.4</f>
        <v>33.04</v>
      </c>
      <c r="E1028" s="91"/>
      <c r="F1028" s="57"/>
    </row>
    <row r="1029" spans="1:28" s="58" customFormat="1" ht="30" customHeight="1" x14ac:dyDescent="0.4">
      <c r="A1029" s="24">
        <f>A1028+1</f>
        <v>439</v>
      </c>
      <c r="B1029" s="59" t="s">
        <v>403</v>
      </c>
      <c r="C1029" s="70" t="s">
        <v>132</v>
      </c>
      <c r="D1029" s="40">
        <v>94.4</v>
      </c>
      <c r="E1029" s="66"/>
      <c r="F1029" s="57"/>
    </row>
    <row r="1030" spans="1:28" s="58" customFormat="1" ht="30" hidden="1" customHeight="1" outlineLevel="1" x14ac:dyDescent="0.4">
      <c r="A1030" s="54"/>
      <c r="B1030" s="48" t="s">
        <v>404</v>
      </c>
      <c r="C1030" s="49" t="s">
        <v>14</v>
      </c>
      <c r="D1030" s="65">
        <f>94.4*1.26/1000</f>
        <v>0.11894400000000001</v>
      </c>
      <c r="E1030" s="51">
        <v>0.11899999999999999</v>
      </c>
      <c r="F1030" s="57"/>
    </row>
    <row r="1031" spans="1:28" ht="36" customHeight="1" collapsed="1" x14ac:dyDescent="0.35">
      <c r="A1031" s="24">
        <f>A1029+1</f>
        <v>440</v>
      </c>
      <c r="B1031" s="59" t="s">
        <v>405</v>
      </c>
      <c r="C1031" s="26" t="s">
        <v>58</v>
      </c>
      <c r="D1031" s="82">
        <v>6</v>
      </c>
      <c r="E1031" s="41"/>
      <c r="F1031" s="42"/>
    </row>
    <row r="1032" spans="1:28" s="58" customFormat="1" ht="30" hidden="1" customHeight="1" outlineLevel="1" x14ac:dyDescent="0.4">
      <c r="A1032" s="54"/>
      <c r="B1032" s="48" t="s">
        <v>406</v>
      </c>
      <c r="C1032" s="49" t="s">
        <v>14</v>
      </c>
      <c r="D1032" s="65">
        <f>30*1.58/1000</f>
        <v>4.7400000000000005E-2</v>
      </c>
      <c r="E1032" s="51">
        <v>4.7E-2</v>
      </c>
      <c r="F1032" s="57"/>
    </row>
    <row r="1033" spans="1:28" s="58" customFormat="1" ht="30" customHeight="1" collapsed="1" x14ac:dyDescent="0.4">
      <c r="A1033" s="24">
        <f>A1031+1</f>
        <v>441</v>
      </c>
      <c r="B1033" s="71" t="s">
        <v>315</v>
      </c>
      <c r="C1033" s="40" t="s">
        <v>132</v>
      </c>
      <c r="D1033" s="67">
        <v>55.6</v>
      </c>
      <c r="E1033" s="66"/>
      <c r="F1033" s="57"/>
    </row>
    <row r="1034" spans="1:28" s="58" customFormat="1" ht="30" hidden="1" customHeight="1" outlineLevel="1" x14ac:dyDescent="0.4">
      <c r="A1034" s="87"/>
      <c r="B1034" s="48" t="s">
        <v>314</v>
      </c>
      <c r="C1034" s="75" t="s">
        <v>14</v>
      </c>
      <c r="D1034" s="65">
        <f>55.6*1.26/1000</f>
        <v>7.0055999999999993E-2</v>
      </c>
      <c r="E1034" s="88">
        <v>7.0000000000000007E-2</v>
      </c>
      <c r="F1034" s="57"/>
    </row>
    <row r="1035" spans="1:28" ht="36" customHeight="1" collapsed="1" x14ac:dyDescent="0.35">
      <c r="A1035" s="24">
        <f>A1033+1</f>
        <v>442</v>
      </c>
      <c r="B1035" s="59" t="s">
        <v>316</v>
      </c>
      <c r="C1035" s="26" t="s">
        <v>132</v>
      </c>
      <c r="D1035" s="82">
        <v>25</v>
      </c>
      <c r="E1035" s="41"/>
      <c r="F1035" s="42"/>
    </row>
    <row r="1036" spans="1:28" s="58" customFormat="1" ht="30" hidden="1" customHeight="1" outlineLevel="1" x14ac:dyDescent="0.4">
      <c r="A1036" s="54"/>
      <c r="B1036" s="48" t="s">
        <v>407</v>
      </c>
      <c r="C1036" s="49" t="s">
        <v>132</v>
      </c>
      <c r="D1036" s="55">
        <v>25</v>
      </c>
      <c r="E1036" s="51"/>
      <c r="F1036" s="57"/>
    </row>
    <row r="1037" spans="1:28" s="58" customFormat="1" ht="30" hidden="1" customHeight="1" outlineLevel="1" x14ac:dyDescent="0.4">
      <c r="A1037" s="54"/>
      <c r="B1037" s="48" t="s">
        <v>408</v>
      </c>
      <c r="C1037" s="49" t="s">
        <v>58</v>
      </c>
      <c r="D1037" s="55">
        <v>50</v>
      </c>
      <c r="E1037" s="51"/>
      <c r="F1037" s="57"/>
    </row>
    <row r="1038" spans="1:28" s="58" customFormat="1" ht="30" hidden="1" customHeight="1" outlineLevel="1" x14ac:dyDescent="0.4">
      <c r="A1038" s="54"/>
      <c r="B1038" s="48" t="s">
        <v>409</v>
      </c>
      <c r="C1038" s="49" t="s">
        <v>58</v>
      </c>
      <c r="D1038" s="55">
        <v>50</v>
      </c>
      <c r="E1038" s="51"/>
      <c r="F1038" s="57"/>
    </row>
    <row r="1039" spans="1:28" s="58" customFormat="1" ht="30" hidden="1" customHeight="1" outlineLevel="1" x14ac:dyDescent="0.4">
      <c r="A1039" s="54"/>
      <c r="B1039" s="48" t="s">
        <v>410</v>
      </c>
      <c r="C1039" s="49" t="s">
        <v>58</v>
      </c>
      <c r="D1039" s="55">
        <v>50</v>
      </c>
      <c r="E1039" s="51"/>
      <c r="F1039" s="57"/>
    </row>
    <row r="1040" spans="1:28" s="58" customFormat="1" ht="30" hidden="1" customHeight="1" outlineLevel="1" x14ac:dyDescent="0.4">
      <c r="A1040" s="54"/>
      <c r="B1040" s="48" t="s">
        <v>411</v>
      </c>
      <c r="C1040" s="49" t="s">
        <v>58</v>
      </c>
      <c r="D1040" s="55">
        <v>100</v>
      </c>
      <c r="E1040" s="51"/>
      <c r="F1040" s="57"/>
    </row>
    <row r="1041" spans="1:203" s="39" customFormat="1" ht="21" customHeight="1" collapsed="1" x14ac:dyDescent="0.35">
      <c r="A1041" s="158" t="s">
        <v>576</v>
      </c>
      <c r="B1041" s="158"/>
      <c r="C1041" s="158"/>
      <c r="D1041" s="158"/>
      <c r="E1041" s="158"/>
      <c r="F1041" s="34"/>
      <c r="G1041" s="35"/>
      <c r="H1041" s="36"/>
      <c r="I1041" s="37"/>
      <c r="J1041" s="37"/>
      <c r="K1041" s="38"/>
      <c r="L1041" s="38"/>
      <c r="M1041" s="38"/>
      <c r="N1041" s="36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</row>
    <row r="1042" spans="1:203" s="45" customFormat="1" ht="31" customHeight="1" x14ac:dyDescent="0.35">
      <c r="A1042" s="24">
        <f>A1035+1</f>
        <v>443</v>
      </c>
      <c r="B1042" s="25" t="s">
        <v>577</v>
      </c>
      <c r="C1042" s="89" t="s">
        <v>578</v>
      </c>
      <c r="D1042" s="26">
        <v>4</v>
      </c>
      <c r="E1042" s="41"/>
      <c r="F1042" s="42"/>
      <c r="G1042" s="43"/>
      <c r="H1042" s="44"/>
      <c r="I1042" s="43"/>
      <c r="J1042" s="43"/>
      <c r="N1042" s="44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6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46"/>
      <c r="DP1042" s="46"/>
      <c r="DQ1042" s="46"/>
      <c r="DR1042" s="46"/>
      <c r="DS1042" s="46"/>
      <c r="DT1042" s="46"/>
      <c r="DU1042" s="46"/>
      <c r="DV1042" s="46"/>
      <c r="DW1042" s="46"/>
      <c r="DX1042" s="46"/>
      <c r="DY1042" s="46"/>
      <c r="DZ1042" s="46"/>
      <c r="EA1042" s="46"/>
      <c r="EB1042" s="46"/>
      <c r="EC1042" s="46"/>
      <c r="ED1042" s="46"/>
      <c r="EE1042" s="46"/>
      <c r="EF1042" s="46"/>
      <c r="EG1042" s="46"/>
      <c r="EH1042" s="46"/>
      <c r="EI1042" s="46"/>
      <c r="EJ1042" s="46"/>
      <c r="EK1042" s="46"/>
      <c r="EL1042" s="46"/>
      <c r="EM1042" s="46"/>
      <c r="EN1042" s="46"/>
      <c r="EO1042" s="46"/>
      <c r="EP1042" s="46"/>
      <c r="EQ1042" s="46"/>
      <c r="ER1042" s="46"/>
      <c r="ES1042" s="46"/>
      <c r="ET1042" s="46"/>
      <c r="EU1042" s="46"/>
      <c r="EV1042" s="46"/>
      <c r="EW1042" s="46"/>
      <c r="EX1042" s="46"/>
      <c r="EY1042" s="46"/>
      <c r="EZ1042" s="46"/>
      <c r="FA1042" s="46"/>
      <c r="FB1042" s="46"/>
      <c r="FC1042" s="46"/>
      <c r="FD1042" s="46"/>
      <c r="FE1042" s="46"/>
      <c r="FF1042" s="46"/>
      <c r="FG1042" s="46"/>
      <c r="FH1042" s="46"/>
      <c r="FI1042" s="46"/>
      <c r="FJ1042" s="46"/>
      <c r="FK1042" s="46"/>
      <c r="FL1042" s="46"/>
      <c r="FM1042" s="46"/>
      <c r="FN1042" s="46"/>
      <c r="FO1042" s="46"/>
      <c r="FP1042" s="46"/>
      <c r="FQ1042" s="46"/>
      <c r="FR1042" s="46"/>
      <c r="FS1042" s="46"/>
      <c r="FT1042" s="46"/>
      <c r="FU1042" s="46"/>
      <c r="FV1042" s="46"/>
      <c r="FW1042" s="46"/>
      <c r="FX1042" s="46"/>
      <c r="FY1042" s="46"/>
      <c r="FZ1042" s="46"/>
      <c r="GA1042" s="46"/>
      <c r="GB1042" s="46"/>
      <c r="GC1042" s="46"/>
      <c r="GD1042" s="46"/>
      <c r="GE1042" s="46"/>
      <c r="GF1042" s="46"/>
      <c r="GG1042" s="46"/>
      <c r="GH1042" s="46"/>
      <c r="GI1042" s="46"/>
      <c r="GJ1042" s="46"/>
      <c r="GK1042" s="46"/>
      <c r="GL1042" s="46"/>
      <c r="GM1042" s="46"/>
      <c r="GN1042" s="46"/>
      <c r="GO1042" s="46"/>
      <c r="GP1042" s="46"/>
      <c r="GQ1042" s="46"/>
      <c r="GR1042" s="46"/>
      <c r="GS1042" s="46"/>
      <c r="GT1042" s="46"/>
      <c r="GU1042" s="46"/>
    </row>
    <row r="1043" spans="1:203" s="45" customFormat="1" ht="30.9" hidden="1" outlineLevel="1" x14ac:dyDescent="0.35">
      <c r="A1043" s="47"/>
      <c r="B1043" s="48" t="s">
        <v>579</v>
      </c>
      <c r="C1043" s="49" t="s">
        <v>58</v>
      </c>
      <c r="D1043" s="49">
        <v>4</v>
      </c>
      <c r="E1043" s="78"/>
      <c r="F1043" s="42"/>
      <c r="G1043" s="43"/>
      <c r="H1043" s="44"/>
      <c r="I1043" s="43"/>
      <c r="J1043" s="43"/>
      <c r="N1043" s="44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  <c r="CZ1043" s="46"/>
      <c r="DA1043" s="46"/>
      <c r="DB1043" s="46"/>
      <c r="DC1043" s="46"/>
      <c r="DD1043" s="46"/>
      <c r="DE1043" s="46"/>
      <c r="DF1043" s="46"/>
      <c r="DG1043" s="46"/>
      <c r="DH1043" s="46"/>
      <c r="DI1043" s="46"/>
      <c r="DJ1043" s="46"/>
      <c r="DK1043" s="46"/>
      <c r="DL1043" s="46"/>
      <c r="DM1043" s="46"/>
      <c r="DN1043" s="46"/>
      <c r="DO1043" s="46"/>
      <c r="DP1043" s="46"/>
      <c r="DQ1043" s="46"/>
      <c r="DR1043" s="46"/>
      <c r="DS1043" s="46"/>
      <c r="DT1043" s="46"/>
      <c r="DU1043" s="46"/>
      <c r="DV1043" s="46"/>
      <c r="DW1043" s="46"/>
      <c r="DX1043" s="46"/>
      <c r="DY1043" s="46"/>
      <c r="DZ1043" s="46"/>
      <c r="EA1043" s="46"/>
      <c r="EB1043" s="46"/>
      <c r="EC1043" s="46"/>
      <c r="ED1043" s="46"/>
      <c r="EE1043" s="46"/>
      <c r="EF1043" s="46"/>
      <c r="EG1043" s="46"/>
      <c r="EH1043" s="46"/>
      <c r="EI1043" s="46"/>
      <c r="EJ1043" s="46"/>
      <c r="EK1043" s="46"/>
      <c r="EL1043" s="46"/>
      <c r="EM1043" s="46"/>
      <c r="EN1043" s="46"/>
      <c r="EO1043" s="46"/>
      <c r="EP1043" s="46"/>
      <c r="EQ1043" s="46"/>
      <c r="ER1043" s="46"/>
      <c r="ES1043" s="46"/>
      <c r="ET1043" s="46"/>
      <c r="EU1043" s="46"/>
      <c r="EV1043" s="46"/>
      <c r="EW1043" s="46"/>
      <c r="EX1043" s="46"/>
      <c r="EY1043" s="46"/>
      <c r="EZ1043" s="46"/>
      <c r="FA1043" s="46"/>
      <c r="FB1043" s="46"/>
      <c r="FC1043" s="46"/>
      <c r="FD1043" s="46"/>
      <c r="FE1043" s="46"/>
      <c r="FF1043" s="46"/>
      <c r="FG1043" s="46"/>
      <c r="FH1043" s="46"/>
      <c r="FI1043" s="46"/>
      <c r="FJ1043" s="46"/>
      <c r="FK1043" s="46"/>
      <c r="FL1043" s="46"/>
      <c r="FM1043" s="46"/>
      <c r="FN1043" s="46"/>
      <c r="FO1043" s="46"/>
      <c r="FP1043" s="46"/>
      <c r="FQ1043" s="46"/>
      <c r="FR1043" s="46"/>
      <c r="FS1043" s="46"/>
      <c r="FT1043" s="46"/>
      <c r="FU1043" s="46"/>
      <c r="FV1043" s="46"/>
      <c r="FW1043" s="46"/>
      <c r="FX1043" s="46"/>
      <c r="FY1043" s="46"/>
      <c r="FZ1043" s="46"/>
      <c r="GA1043" s="46"/>
      <c r="GB1043" s="46"/>
      <c r="GC1043" s="46"/>
      <c r="GD1043" s="46"/>
      <c r="GE1043" s="46"/>
      <c r="GF1043" s="46"/>
      <c r="GG1043" s="46"/>
      <c r="GH1043" s="46"/>
      <c r="GI1043" s="46"/>
      <c r="GJ1043" s="46"/>
      <c r="GK1043" s="46"/>
      <c r="GL1043" s="46"/>
      <c r="GM1043" s="46"/>
      <c r="GN1043" s="46"/>
      <c r="GO1043" s="46"/>
      <c r="GP1043" s="46"/>
      <c r="GQ1043" s="46"/>
      <c r="GR1043" s="46"/>
      <c r="GS1043" s="46"/>
      <c r="GT1043" s="46"/>
      <c r="GU1043" s="46"/>
    </row>
    <row r="1044" spans="1:203" s="45" customFormat="1" ht="31" customHeight="1" collapsed="1" x14ac:dyDescent="0.35">
      <c r="A1044" s="24">
        <f>A1042+1</f>
        <v>444</v>
      </c>
      <c r="B1044" s="25" t="s">
        <v>580</v>
      </c>
      <c r="C1044" s="89" t="s">
        <v>58</v>
      </c>
      <c r="D1044" s="26">
        <v>1</v>
      </c>
      <c r="E1044" s="41"/>
      <c r="F1044" s="42"/>
      <c r="G1044" s="43"/>
      <c r="H1044" s="44"/>
      <c r="I1044" s="43"/>
      <c r="J1044" s="43"/>
      <c r="N1044" s="44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  <c r="CZ1044" s="46"/>
      <c r="DA1044" s="46"/>
      <c r="DB1044" s="46"/>
      <c r="DC1044" s="46"/>
      <c r="DD1044" s="46"/>
      <c r="DE1044" s="46"/>
      <c r="DF1044" s="46"/>
      <c r="DG1044" s="46"/>
      <c r="DH1044" s="46"/>
      <c r="DI1044" s="46"/>
      <c r="DJ1044" s="46"/>
      <c r="DK1044" s="46"/>
      <c r="DL1044" s="46"/>
      <c r="DM1044" s="46"/>
      <c r="DN1044" s="46"/>
      <c r="DO1044" s="46"/>
      <c r="DP1044" s="46"/>
      <c r="DQ1044" s="46"/>
      <c r="DR1044" s="46"/>
      <c r="DS1044" s="46"/>
      <c r="DT1044" s="46"/>
      <c r="DU1044" s="46"/>
      <c r="DV1044" s="46"/>
      <c r="DW1044" s="46"/>
      <c r="DX1044" s="46"/>
      <c r="DY1044" s="46"/>
      <c r="DZ1044" s="46"/>
      <c r="EA1044" s="46"/>
      <c r="EB1044" s="46"/>
      <c r="EC1044" s="46"/>
      <c r="ED1044" s="46"/>
      <c r="EE1044" s="46"/>
      <c r="EF1044" s="46"/>
      <c r="EG1044" s="46"/>
      <c r="EH1044" s="46"/>
      <c r="EI1044" s="46"/>
      <c r="EJ1044" s="46"/>
      <c r="EK1044" s="46"/>
      <c r="EL1044" s="46"/>
      <c r="EM1044" s="46"/>
      <c r="EN1044" s="46"/>
      <c r="EO1044" s="46"/>
      <c r="EP1044" s="46"/>
      <c r="EQ1044" s="46"/>
      <c r="ER1044" s="46"/>
      <c r="ES1044" s="46"/>
      <c r="ET1044" s="46"/>
      <c r="EU1044" s="46"/>
      <c r="EV1044" s="46"/>
      <c r="EW1044" s="46"/>
      <c r="EX1044" s="46"/>
      <c r="EY1044" s="46"/>
      <c r="EZ1044" s="46"/>
      <c r="FA1044" s="46"/>
      <c r="FB1044" s="46"/>
      <c r="FC1044" s="46"/>
      <c r="FD1044" s="46"/>
      <c r="FE1044" s="46"/>
      <c r="FF1044" s="46"/>
      <c r="FG1044" s="46"/>
      <c r="FH1044" s="46"/>
      <c r="FI1044" s="46"/>
      <c r="FJ1044" s="46"/>
      <c r="FK1044" s="46"/>
      <c r="FL1044" s="46"/>
      <c r="FM1044" s="46"/>
      <c r="FN1044" s="46"/>
      <c r="FO1044" s="46"/>
      <c r="FP1044" s="46"/>
      <c r="FQ1044" s="46"/>
      <c r="FR1044" s="46"/>
      <c r="FS1044" s="46"/>
      <c r="FT1044" s="46"/>
      <c r="FU1044" s="46"/>
      <c r="FV1044" s="46"/>
      <c r="FW1044" s="46"/>
      <c r="FX1044" s="46"/>
      <c r="FY1044" s="46"/>
      <c r="FZ1044" s="46"/>
      <c r="GA1044" s="46"/>
      <c r="GB1044" s="46"/>
      <c r="GC1044" s="46"/>
      <c r="GD1044" s="46"/>
      <c r="GE1044" s="46"/>
      <c r="GF1044" s="46"/>
      <c r="GG1044" s="46"/>
      <c r="GH1044" s="46"/>
      <c r="GI1044" s="46"/>
      <c r="GJ1044" s="46"/>
      <c r="GK1044" s="46"/>
      <c r="GL1044" s="46"/>
      <c r="GM1044" s="46"/>
      <c r="GN1044" s="46"/>
      <c r="GO1044" s="46"/>
      <c r="GP1044" s="46"/>
      <c r="GQ1044" s="46"/>
      <c r="GR1044" s="46"/>
      <c r="GS1044" s="46"/>
      <c r="GT1044" s="46"/>
      <c r="GU1044" s="46"/>
    </row>
    <row r="1045" spans="1:203" s="45" customFormat="1" ht="123.45" hidden="1" outlineLevel="1" x14ac:dyDescent="0.35">
      <c r="A1045" s="47"/>
      <c r="B1045" s="48" t="s">
        <v>581</v>
      </c>
      <c r="C1045" s="49" t="s">
        <v>58</v>
      </c>
      <c r="D1045" s="49">
        <v>1</v>
      </c>
      <c r="E1045" s="78"/>
      <c r="F1045" s="42"/>
      <c r="G1045" s="43"/>
      <c r="H1045" s="44"/>
      <c r="I1045" s="43"/>
      <c r="J1045" s="43"/>
      <c r="N1045" s="44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  <c r="CZ1045" s="46"/>
      <c r="DA1045" s="46"/>
      <c r="DB1045" s="46"/>
      <c r="DC1045" s="46"/>
      <c r="DD1045" s="46"/>
      <c r="DE1045" s="46"/>
      <c r="DF1045" s="46"/>
      <c r="DG1045" s="46"/>
      <c r="DH1045" s="46"/>
      <c r="DI1045" s="46"/>
      <c r="DJ1045" s="46"/>
      <c r="DK1045" s="46"/>
      <c r="DL1045" s="46"/>
      <c r="DM1045" s="46"/>
      <c r="DN1045" s="46"/>
      <c r="DO1045" s="46"/>
      <c r="DP1045" s="46"/>
      <c r="DQ1045" s="46"/>
      <c r="DR1045" s="46"/>
      <c r="DS1045" s="46"/>
      <c r="DT1045" s="46"/>
      <c r="DU1045" s="46"/>
      <c r="DV1045" s="46"/>
      <c r="DW1045" s="46"/>
      <c r="DX1045" s="46"/>
      <c r="DY1045" s="46"/>
      <c r="DZ1045" s="46"/>
      <c r="EA1045" s="46"/>
      <c r="EB1045" s="46"/>
      <c r="EC1045" s="46"/>
      <c r="ED1045" s="46"/>
      <c r="EE1045" s="46"/>
      <c r="EF1045" s="46"/>
      <c r="EG1045" s="46"/>
      <c r="EH1045" s="46"/>
      <c r="EI1045" s="46"/>
      <c r="EJ1045" s="46"/>
      <c r="EK1045" s="46"/>
      <c r="EL1045" s="46"/>
      <c r="EM1045" s="46"/>
      <c r="EN1045" s="46"/>
      <c r="EO1045" s="46"/>
      <c r="EP1045" s="46"/>
      <c r="EQ1045" s="46"/>
      <c r="ER1045" s="46"/>
      <c r="ES1045" s="46"/>
      <c r="ET1045" s="46"/>
      <c r="EU1045" s="46"/>
      <c r="EV1045" s="46"/>
      <c r="EW1045" s="46"/>
      <c r="EX1045" s="46"/>
      <c r="EY1045" s="46"/>
      <c r="EZ1045" s="46"/>
      <c r="FA1045" s="46"/>
      <c r="FB1045" s="46"/>
      <c r="FC1045" s="46"/>
      <c r="FD1045" s="46"/>
      <c r="FE1045" s="46"/>
      <c r="FF1045" s="46"/>
      <c r="FG1045" s="46"/>
      <c r="FH1045" s="46"/>
      <c r="FI1045" s="46"/>
      <c r="FJ1045" s="46"/>
      <c r="FK1045" s="46"/>
      <c r="FL1045" s="46"/>
      <c r="FM1045" s="46"/>
      <c r="FN1045" s="46"/>
      <c r="FO1045" s="46"/>
      <c r="FP1045" s="46"/>
      <c r="FQ1045" s="46"/>
      <c r="FR1045" s="46"/>
      <c r="FS1045" s="46"/>
      <c r="FT1045" s="46"/>
      <c r="FU1045" s="46"/>
      <c r="FV1045" s="46"/>
      <c r="FW1045" s="46"/>
      <c r="FX1045" s="46"/>
      <c r="FY1045" s="46"/>
      <c r="FZ1045" s="46"/>
      <c r="GA1045" s="46"/>
      <c r="GB1045" s="46"/>
      <c r="GC1045" s="46"/>
      <c r="GD1045" s="46"/>
      <c r="GE1045" s="46"/>
      <c r="GF1045" s="46"/>
      <c r="GG1045" s="46"/>
      <c r="GH1045" s="46"/>
      <c r="GI1045" s="46"/>
      <c r="GJ1045" s="46"/>
      <c r="GK1045" s="46"/>
      <c r="GL1045" s="46"/>
      <c r="GM1045" s="46"/>
      <c r="GN1045" s="46"/>
      <c r="GO1045" s="46"/>
      <c r="GP1045" s="46"/>
      <c r="GQ1045" s="46"/>
      <c r="GR1045" s="46"/>
      <c r="GS1045" s="46"/>
      <c r="GT1045" s="46"/>
      <c r="GU1045" s="46"/>
    </row>
    <row r="1046" spans="1:203" s="58" customFormat="1" ht="30" customHeight="1" collapsed="1" x14ac:dyDescent="0.4">
      <c r="A1046" s="24">
        <f>A1044+1</f>
        <v>445</v>
      </c>
      <c r="B1046" s="25" t="s">
        <v>582</v>
      </c>
      <c r="C1046" s="89" t="s">
        <v>132</v>
      </c>
      <c r="D1046" s="90">
        <v>702</v>
      </c>
      <c r="E1046" s="91"/>
      <c r="F1046" s="57"/>
    </row>
    <row r="1047" spans="1:203" s="58" customFormat="1" ht="30" hidden="1" customHeight="1" outlineLevel="1" x14ac:dyDescent="0.4">
      <c r="A1047" s="87"/>
      <c r="B1047" s="48" t="s">
        <v>454</v>
      </c>
      <c r="C1047" s="75" t="s">
        <v>132</v>
      </c>
      <c r="D1047" s="74">
        <v>411</v>
      </c>
      <c r="E1047" s="88">
        <v>0.128</v>
      </c>
      <c r="F1047" s="57"/>
    </row>
    <row r="1048" spans="1:203" s="58" customFormat="1" ht="30" hidden="1" customHeight="1" outlineLevel="1" x14ac:dyDescent="0.4">
      <c r="A1048" s="87"/>
      <c r="B1048" s="48" t="s">
        <v>583</v>
      </c>
      <c r="C1048" s="75" t="s">
        <v>132</v>
      </c>
      <c r="D1048" s="74">
        <v>111</v>
      </c>
      <c r="E1048" s="88">
        <v>6.0999999999999999E-2</v>
      </c>
      <c r="F1048" s="57"/>
    </row>
    <row r="1049" spans="1:203" s="58" customFormat="1" ht="30" hidden="1" customHeight="1" outlineLevel="1" x14ac:dyDescent="0.4">
      <c r="A1049" s="87"/>
      <c r="B1049" s="48" t="s">
        <v>584</v>
      </c>
      <c r="C1049" s="75" t="s">
        <v>132</v>
      </c>
      <c r="D1049" s="74">
        <v>180</v>
      </c>
      <c r="E1049" s="88">
        <v>0.151</v>
      </c>
      <c r="F1049" s="57"/>
    </row>
    <row r="1050" spans="1:203" s="58" customFormat="1" ht="30" hidden="1" customHeight="1" outlineLevel="1" x14ac:dyDescent="0.4">
      <c r="A1050" s="87"/>
      <c r="B1050" s="48" t="s">
        <v>441</v>
      </c>
      <c r="C1050" s="75" t="s">
        <v>58</v>
      </c>
      <c r="D1050" s="74">
        <v>46</v>
      </c>
      <c r="E1050" s="88"/>
      <c r="F1050" s="57"/>
    </row>
    <row r="1051" spans="1:203" s="58" customFormat="1" ht="30" customHeight="1" collapsed="1" x14ac:dyDescent="0.4">
      <c r="A1051" s="24">
        <f>A1046+1</f>
        <v>446</v>
      </c>
      <c r="B1051" s="25" t="s">
        <v>585</v>
      </c>
      <c r="C1051" s="89" t="s">
        <v>132</v>
      </c>
      <c r="D1051" s="90">
        <v>560</v>
      </c>
      <c r="E1051" s="91"/>
      <c r="F1051" s="57"/>
    </row>
    <row r="1052" spans="1:203" s="58" customFormat="1" ht="30" hidden="1" customHeight="1" outlineLevel="1" x14ac:dyDescent="0.4">
      <c r="A1052" s="87"/>
      <c r="B1052" s="48" t="s">
        <v>586</v>
      </c>
      <c r="C1052" s="75" t="s">
        <v>132</v>
      </c>
      <c r="D1052" s="74">
        <v>560</v>
      </c>
      <c r="E1052" s="88">
        <v>0.64300000000000002</v>
      </c>
      <c r="F1052" s="57"/>
    </row>
    <row r="1053" spans="1:203" s="58" customFormat="1" ht="30" hidden="1" customHeight="1" outlineLevel="1" x14ac:dyDescent="0.4">
      <c r="A1053" s="87"/>
      <c r="B1053" s="48" t="s">
        <v>441</v>
      </c>
      <c r="C1053" s="75" t="s">
        <v>58</v>
      </c>
      <c r="D1053" s="74">
        <v>2</v>
      </c>
      <c r="E1053" s="88"/>
      <c r="F1053" s="57"/>
    </row>
    <row r="1054" spans="1:203" s="58" customFormat="1" ht="30" customHeight="1" collapsed="1" x14ac:dyDescent="0.4">
      <c r="A1054" s="24">
        <f>A1051+1</f>
        <v>447</v>
      </c>
      <c r="B1054" s="25" t="s">
        <v>316</v>
      </c>
      <c r="C1054" s="89" t="s">
        <v>132</v>
      </c>
      <c r="D1054" s="96">
        <v>30</v>
      </c>
      <c r="E1054" s="98"/>
      <c r="F1054" s="57"/>
      <c r="O1054" s="58" t="s">
        <v>442</v>
      </c>
    </row>
    <row r="1055" spans="1:203" s="58" customFormat="1" ht="30" hidden="1" customHeight="1" outlineLevel="1" x14ac:dyDescent="0.4">
      <c r="A1055" s="87"/>
      <c r="B1055" s="48" t="s">
        <v>317</v>
      </c>
      <c r="C1055" s="75" t="s">
        <v>132</v>
      </c>
      <c r="D1055" s="74">
        <v>30</v>
      </c>
      <c r="E1055" s="93"/>
      <c r="F1055" s="57"/>
    </row>
    <row r="1056" spans="1:203" s="58" customFormat="1" ht="30" customHeight="1" collapsed="1" x14ac:dyDescent="0.4">
      <c r="A1056" s="24">
        <f>A1054+1</f>
        <v>448</v>
      </c>
      <c r="B1056" s="25" t="s">
        <v>340</v>
      </c>
      <c r="C1056" s="89" t="s">
        <v>132</v>
      </c>
      <c r="D1056" s="90">
        <v>188</v>
      </c>
      <c r="E1056" s="99"/>
      <c r="F1056" s="57"/>
    </row>
    <row r="1057" spans="1:203" s="58" customFormat="1" ht="30" hidden="1" customHeight="1" outlineLevel="1" x14ac:dyDescent="0.4">
      <c r="A1057" s="87"/>
      <c r="B1057" s="48" t="s">
        <v>341</v>
      </c>
      <c r="C1057" s="75" t="s">
        <v>14</v>
      </c>
      <c r="D1057" s="77">
        <f>188*1.66/1000*1.1</f>
        <v>0.34328799999999998</v>
      </c>
      <c r="E1057" s="88">
        <v>0.34300000000000003</v>
      </c>
      <c r="F1057" s="57"/>
    </row>
    <row r="1058" spans="1:203" s="58" customFormat="1" ht="30" customHeight="1" collapsed="1" x14ac:dyDescent="0.4">
      <c r="A1058" s="24">
        <f>A1056+1</f>
        <v>449</v>
      </c>
      <c r="B1058" s="25" t="s">
        <v>284</v>
      </c>
      <c r="C1058" s="89" t="s">
        <v>132</v>
      </c>
      <c r="D1058" s="90">
        <v>174</v>
      </c>
      <c r="E1058" s="91"/>
      <c r="F1058" s="57"/>
    </row>
    <row r="1059" spans="1:203" s="58" customFormat="1" ht="30" hidden="1" customHeight="1" outlineLevel="1" x14ac:dyDescent="0.4">
      <c r="A1059" s="87"/>
      <c r="B1059" s="48" t="s">
        <v>342</v>
      </c>
      <c r="C1059" s="75" t="s">
        <v>132</v>
      </c>
      <c r="D1059" s="74">
        <v>162</v>
      </c>
      <c r="E1059" s="88"/>
      <c r="F1059" s="57"/>
    </row>
    <row r="1060" spans="1:203" s="58" customFormat="1" ht="30" hidden="1" customHeight="1" outlineLevel="1" x14ac:dyDescent="0.4">
      <c r="A1060" s="87"/>
      <c r="B1060" s="48" t="s">
        <v>587</v>
      </c>
      <c r="C1060" s="75" t="s">
        <v>132</v>
      </c>
      <c r="D1060" s="74">
        <v>3</v>
      </c>
      <c r="E1060" s="88"/>
      <c r="F1060" s="57"/>
    </row>
    <row r="1061" spans="1:203" s="58" customFormat="1" ht="30" hidden="1" customHeight="1" outlineLevel="1" x14ac:dyDescent="0.4">
      <c r="A1061" s="87"/>
      <c r="B1061" s="48" t="s">
        <v>285</v>
      </c>
      <c r="C1061" s="75" t="s">
        <v>132</v>
      </c>
      <c r="D1061" s="74">
        <v>9</v>
      </c>
      <c r="E1061" s="88"/>
      <c r="F1061" s="57"/>
    </row>
    <row r="1062" spans="1:203" s="58" customFormat="1" ht="30" hidden="1" customHeight="1" outlineLevel="1" x14ac:dyDescent="0.4">
      <c r="A1062" s="87"/>
      <c r="B1062" s="48" t="s">
        <v>343</v>
      </c>
      <c r="C1062" s="75" t="s">
        <v>132</v>
      </c>
      <c r="D1062" s="74">
        <v>18</v>
      </c>
      <c r="E1062" s="88"/>
      <c r="F1062" s="57"/>
    </row>
    <row r="1063" spans="1:203" s="58" customFormat="1" ht="30" hidden="1" customHeight="1" outlineLevel="1" x14ac:dyDescent="0.4">
      <c r="A1063" s="87"/>
      <c r="B1063" s="48" t="s">
        <v>348</v>
      </c>
      <c r="C1063" s="75" t="s">
        <v>349</v>
      </c>
      <c r="D1063" s="74">
        <v>1</v>
      </c>
      <c r="E1063" s="88"/>
      <c r="F1063" s="57"/>
    </row>
    <row r="1064" spans="1:203" s="58" customFormat="1" ht="30" customHeight="1" collapsed="1" x14ac:dyDescent="0.4">
      <c r="A1064" s="24">
        <f>A1058+1</f>
        <v>450</v>
      </c>
      <c r="B1064" s="25" t="s">
        <v>588</v>
      </c>
      <c r="C1064" s="89" t="s">
        <v>58</v>
      </c>
      <c r="D1064" s="90">
        <v>3</v>
      </c>
      <c r="E1064" s="99"/>
      <c r="F1064" s="57"/>
    </row>
    <row r="1065" spans="1:203" s="58" customFormat="1" ht="30.9" hidden="1" outlineLevel="1" x14ac:dyDescent="0.4">
      <c r="A1065" s="87"/>
      <c r="B1065" s="48" t="s">
        <v>589</v>
      </c>
      <c r="C1065" s="75" t="s">
        <v>58</v>
      </c>
      <c r="D1065" s="74">
        <v>1</v>
      </c>
      <c r="E1065" s="88"/>
      <c r="F1065" s="57"/>
    </row>
    <row r="1066" spans="1:203" s="58" customFormat="1" ht="30.9" hidden="1" outlineLevel="1" x14ac:dyDescent="0.4">
      <c r="A1066" s="87"/>
      <c r="B1066" s="48" t="s">
        <v>590</v>
      </c>
      <c r="C1066" s="75" t="s">
        <v>58</v>
      </c>
      <c r="D1066" s="74">
        <v>1</v>
      </c>
      <c r="E1066" s="88"/>
      <c r="F1066" s="57"/>
    </row>
    <row r="1067" spans="1:203" s="58" customFormat="1" ht="30.9" hidden="1" outlineLevel="1" x14ac:dyDescent="0.4">
      <c r="A1067" s="87"/>
      <c r="B1067" s="48" t="s">
        <v>591</v>
      </c>
      <c r="C1067" s="75" t="s">
        <v>58</v>
      </c>
      <c r="D1067" s="74">
        <v>1</v>
      </c>
      <c r="E1067" s="88"/>
      <c r="F1067" s="57"/>
    </row>
    <row r="1068" spans="1:203" s="43" customFormat="1" ht="31" customHeight="1" collapsed="1" x14ac:dyDescent="0.35">
      <c r="A1068" s="24">
        <f>A1064+1</f>
        <v>451</v>
      </c>
      <c r="B1068" s="25" t="s">
        <v>592</v>
      </c>
      <c r="C1068" s="89" t="s">
        <v>58</v>
      </c>
      <c r="D1068" s="26">
        <v>4</v>
      </c>
      <c r="E1068" s="41"/>
      <c r="F1068" s="42"/>
      <c r="H1068" s="44"/>
      <c r="K1068" s="45"/>
      <c r="L1068" s="45"/>
      <c r="M1068" s="45"/>
      <c r="N1068" s="44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  <c r="BP1068" s="46"/>
      <c r="BQ1068" s="46"/>
      <c r="BR1068" s="46"/>
      <c r="BS1068" s="46"/>
      <c r="BT1068" s="46"/>
      <c r="BU1068" s="46"/>
      <c r="BV1068" s="46"/>
      <c r="BW1068" s="46"/>
      <c r="BX1068" s="46"/>
      <c r="BY1068" s="46"/>
      <c r="BZ1068" s="46"/>
      <c r="CA1068" s="46"/>
      <c r="CB1068" s="46"/>
      <c r="CC1068" s="46"/>
      <c r="CD1068" s="46"/>
      <c r="CE1068" s="46"/>
      <c r="CF1068" s="46"/>
      <c r="CG1068" s="46"/>
      <c r="CH1068" s="46"/>
      <c r="CI1068" s="46"/>
      <c r="CJ1068" s="46"/>
      <c r="CK1068" s="46"/>
      <c r="CL1068" s="46"/>
      <c r="CM1068" s="46"/>
      <c r="CN1068" s="46"/>
      <c r="CO1068" s="46"/>
      <c r="CP1068" s="46"/>
      <c r="CQ1068" s="46"/>
      <c r="CR1068" s="46"/>
      <c r="CS1068" s="46"/>
      <c r="CT1068" s="46"/>
      <c r="CU1068" s="46"/>
      <c r="CV1068" s="46"/>
      <c r="CW1068" s="46"/>
      <c r="CX1068" s="46"/>
      <c r="CY1068" s="46"/>
      <c r="CZ1068" s="46"/>
      <c r="DA1068" s="46"/>
      <c r="DB1068" s="46"/>
      <c r="DC1068" s="46"/>
      <c r="DD1068" s="46"/>
      <c r="DE1068" s="46"/>
      <c r="DF1068" s="46"/>
      <c r="DG1068" s="46"/>
      <c r="DH1068" s="46"/>
      <c r="DI1068" s="46"/>
      <c r="DJ1068" s="46"/>
      <c r="DK1068" s="46"/>
      <c r="DL1068" s="46"/>
      <c r="DM1068" s="46"/>
      <c r="DN1068" s="46"/>
      <c r="DO1068" s="46"/>
      <c r="DP1068" s="46"/>
      <c r="DQ1068" s="46"/>
      <c r="DR1068" s="46"/>
      <c r="DS1068" s="46"/>
      <c r="DT1068" s="46"/>
      <c r="DU1068" s="46"/>
      <c r="DV1068" s="46"/>
      <c r="DW1068" s="46"/>
      <c r="DX1068" s="46"/>
      <c r="DY1068" s="46"/>
      <c r="DZ1068" s="46"/>
      <c r="EA1068" s="46"/>
      <c r="EB1068" s="46"/>
      <c r="EC1068" s="46"/>
      <c r="ED1068" s="46"/>
      <c r="EE1068" s="46"/>
      <c r="EF1068" s="46"/>
      <c r="EG1068" s="46"/>
      <c r="EH1068" s="46"/>
      <c r="EI1068" s="46"/>
      <c r="EJ1068" s="46"/>
      <c r="EK1068" s="46"/>
      <c r="EL1068" s="46"/>
      <c r="EM1068" s="46"/>
      <c r="EN1068" s="46"/>
      <c r="EO1068" s="46"/>
      <c r="EP1068" s="46"/>
      <c r="EQ1068" s="46"/>
      <c r="ER1068" s="46"/>
      <c r="ES1068" s="46"/>
      <c r="ET1068" s="46"/>
      <c r="EU1068" s="46"/>
      <c r="EV1068" s="46"/>
      <c r="EW1068" s="46"/>
      <c r="EX1068" s="46"/>
      <c r="EY1068" s="46"/>
      <c r="EZ1068" s="46"/>
      <c r="FA1068" s="46"/>
      <c r="FB1068" s="46"/>
      <c r="FC1068" s="46"/>
      <c r="FD1068" s="46"/>
      <c r="FE1068" s="46"/>
      <c r="FF1068" s="46"/>
      <c r="FG1068" s="46"/>
      <c r="FH1068" s="46"/>
      <c r="FI1068" s="46"/>
      <c r="FJ1068" s="46"/>
      <c r="FK1068" s="46"/>
      <c r="FL1068" s="46"/>
      <c r="FM1068" s="46"/>
      <c r="FN1068" s="46"/>
      <c r="FO1068" s="46"/>
      <c r="FP1068" s="46"/>
      <c r="FQ1068" s="46"/>
      <c r="FR1068" s="46"/>
      <c r="FS1068" s="46"/>
      <c r="FT1068" s="46"/>
      <c r="FU1068" s="46"/>
      <c r="FV1068" s="46"/>
      <c r="FW1068" s="46"/>
      <c r="FX1068" s="46"/>
      <c r="FY1068" s="46"/>
      <c r="FZ1068" s="46"/>
      <c r="GA1068" s="46"/>
      <c r="GB1068" s="46"/>
      <c r="GC1068" s="46"/>
      <c r="GD1068" s="46"/>
      <c r="GE1068" s="46"/>
      <c r="GF1068" s="46"/>
      <c r="GG1068" s="46"/>
      <c r="GH1068" s="46"/>
      <c r="GI1068" s="46"/>
      <c r="GJ1068" s="46"/>
      <c r="GK1068" s="46"/>
      <c r="GL1068" s="46"/>
      <c r="GM1068" s="46"/>
      <c r="GN1068" s="46"/>
      <c r="GO1068" s="46"/>
      <c r="GP1068" s="46"/>
      <c r="GQ1068" s="46"/>
      <c r="GR1068" s="46"/>
      <c r="GS1068" s="46"/>
      <c r="GT1068" s="46"/>
      <c r="GU1068" s="46"/>
    </row>
    <row r="1069" spans="1:203" s="43" customFormat="1" ht="30" hidden="1" customHeight="1" outlineLevel="1" x14ac:dyDescent="0.35">
      <c r="A1069" s="47"/>
      <c r="B1069" s="48" t="s">
        <v>593</v>
      </c>
      <c r="C1069" s="49" t="s">
        <v>58</v>
      </c>
      <c r="D1069" s="49">
        <v>10</v>
      </c>
      <c r="E1069" s="78"/>
      <c r="F1069" s="42"/>
      <c r="H1069" s="44"/>
      <c r="K1069" s="45"/>
      <c r="L1069" s="45"/>
      <c r="M1069" s="45"/>
      <c r="N1069" s="44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  <c r="BP1069" s="46"/>
      <c r="BQ1069" s="46"/>
      <c r="BR1069" s="46"/>
      <c r="BS1069" s="46"/>
      <c r="BT1069" s="46"/>
      <c r="BU1069" s="46"/>
      <c r="BV1069" s="46"/>
      <c r="BW1069" s="46"/>
      <c r="BX1069" s="46"/>
      <c r="BY1069" s="46"/>
      <c r="BZ1069" s="46"/>
      <c r="CA1069" s="46"/>
      <c r="CB1069" s="46"/>
      <c r="CC1069" s="46"/>
      <c r="CD1069" s="46"/>
      <c r="CE1069" s="46"/>
      <c r="CF1069" s="46"/>
      <c r="CG1069" s="46"/>
      <c r="CH1069" s="46"/>
      <c r="CI1069" s="46"/>
      <c r="CJ1069" s="46"/>
      <c r="CK1069" s="46"/>
      <c r="CL1069" s="46"/>
      <c r="CM1069" s="46"/>
      <c r="CN1069" s="46"/>
      <c r="CO1069" s="46"/>
      <c r="CP1069" s="46"/>
      <c r="CQ1069" s="46"/>
      <c r="CR1069" s="46"/>
      <c r="CS1069" s="46"/>
      <c r="CT1069" s="46"/>
      <c r="CU1069" s="46"/>
      <c r="CV1069" s="46"/>
      <c r="CW1069" s="46"/>
      <c r="CX1069" s="46"/>
      <c r="CY1069" s="46"/>
      <c r="CZ1069" s="46"/>
      <c r="DA1069" s="46"/>
      <c r="DB1069" s="46"/>
      <c r="DC1069" s="46"/>
      <c r="DD1069" s="46"/>
      <c r="DE1069" s="46"/>
      <c r="DF1069" s="46"/>
      <c r="DG1069" s="46"/>
      <c r="DH1069" s="46"/>
      <c r="DI1069" s="46"/>
      <c r="DJ1069" s="46"/>
      <c r="DK1069" s="46"/>
      <c r="DL1069" s="46"/>
      <c r="DM1069" s="46"/>
      <c r="DN1069" s="46"/>
      <c r="DO1069" s="46"/>
      <c r="DP1069" s="46"/>
      <c r="DQ1069" s="46"/>
      <c r="DR1069" s="46"/>
      <c r="DS1069" s="46"/>
      <c r="DT1069" s="46"/>
      <c r="DU1069" s="46"/>
      <c r="DV1069" s="46"/>
      <c r="DW1069" s="46"/>
      <c r="DX1069" s="46"/>
      <c r="DY1069" s="46"/>
      <c r="DZ1069" s="46"/>
      <c r="EA1069" s="46"/>
      <c r="EB1069" s="46"/>
      <c r="EC1069" s="46"/>
      <c r="ED1069" s="46"/>
      <c r="EE1069" s="46"/>
      <c r="EF1069" s="46"/>
      <c r="EG1069" s="46"/>
      <c r="EH1069" s="46"/>
      <c r="EI1069" s="46"/>
      <c r="EJ1069" s="46"/>
      <c r="EK1069" s="46"/>
      <c r="EL1069" s="46"/>
      <c r="EM1069" s="46"/>
      <c r="EN1069" s="46"/>
      <c r="EO1069" s="46"/>
      <c r="EP1069" s="46"/>
      <c r="EQ1069" s="46"/>
      <c r="ER1069" s="46"/>
      <c r="ES1069" s="46"/>
      <c r="ET1069" s="46"/>
      <c r="EU1069" s="46"/>
      <c r="EV1069" s="46"/>
      <c r="EW1069" s="46"/>
      <c r="EX1069" s="46"/>
      <c r="EY1069" s="46"/>
      <c r="EZ1069" s="46"/>
      <c r="FA1069" s="46"/>
      <c r="FB1069" s="46"/>
      <c r="FC1069" s="46"/>
      <c r="FD1069" s="46"/>
      <c r="FE1069" s="46"/>
      <c r="FF1069" s="46"/>
      <c r="FG1069" s="46"/>
      <c r="FH1069" s="46"/>
      <c r="FI1069" s="46"/>
      <c r="FJ1069" s="46"/>
      <c r="FK1069" s="46"/>
      <c r="FL1069" s="46"/>
      <c r="FM1069" s="46"/>
      <c r="FN1069" s="46"/>
      <c r="FO1069" s="46"/>
      <c r="FP1069" s="46"/>
      <c r="FQ1069" s="46"/>
      <c r="FR1069" s="46"/>
      <c r="FS1069" s="46"/>
      <c r="FT1069" s="46"/>
      <c r="FU1069" s="46"/>
      <c r="FV1069" s="46"/>
      <c r="FW1069" s="46"/>
      <c r="FX1069" s="46"/>
      <c r="FY1069" s="46"/>
      <c r="FZ1069" s="46"/>
      <c r="GA1069" s="46"/>
      <c r="GB1069" s="46"/>
      <c r="GC1069" s="46"/>
      <c r="GD1069" s="46"/>
      <c r="GE1069" s="46"/>
      <c r="GF1069" s="46"/>
      <c r="GG1069" s="46"/>
      <c r="GH1069" s="46"/>
      <c r="GI1069" s="46"/>
      <c r="GJ1069" s="46"/>
      <c r="GK1069" s="46"/>
      <c r="GL1069" s="46"/>
      <c r="GM1069" s="46"/>
      <c r="GN1069" s="46"/>
      <c r="GO1069" s="46"/>
      <c r="GP1069" s="46"/>
      <c r="GQ1069" s="46"/>
      <c r="GR1069" s="46"/>
      <c r="GS1069" s="46"/>
      <c r="GT1069" s="46"/>
      <c r="GU1069" s="46"/>
    </row>
    <row r="1070" spans="1:203" s="43" customFormat="1" ht="30" hidden="1" customHeight="1" outlineLevel="1" x14ac:dyDescent="0.35">
      <c r="A1070" s="47"/>
      <c r="B1070" s="48" t="s">
        <v>594</v>
      </c>
      <c r="C1070" s="49" t="s">
        <v>58</v>
      </c>
      <c r="D1070" s="49">
        <v>4</v>
      </c>
      <c r="E1070" s="78"/>
      <c r="F1070" s="42"/>
      <c r="H1070" s="44"/>
      <c r="K1070" s="45"/>
      <c r="L1070" s="45"/>
      <c r="M1070" s="45"/>
      <c r="N1070" s="44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  <c r="BP1070" s="46"/>
      <c r="BQ1070" s="46"/>
      <c r="BR1070" s="46"/>
      <c r="BS1070" s="46"/>
      <c r="BT1070" s="46"/>
      <c r="BU1070" s="46"/>
      <c r="BV1070" s="46"/>
      <c r="BW1070" s="46"/>
      <c r="BX1070" s="46"/>
      <c r="BY1070" s="46"/>
      <c r="BZ1070" s="46"/>
      <c r="CA1070" s="46"/>
      <c r="CB1070" s="46"/>
      <c r="CC1070" s="46"/>
      <c r="CD1070" s="46"/>
      <c r="CE1070" s="46"/>
      <c r="CF1070" s="46"/>
      <c r="CG1070" s="46"/>
      <c r="CH1070" s="46"/>
      <c r="CI1070" s="46"/>
      <c r="CJ1070" s="46"/>
      <c r="CK1070" s="46"/>
      <c r="CL1070" s="46"/>
      <c r="CM1070" s="46"/>
      <c r="CN1070" s="46"/>
      <c r="CO1070" s="46"/>
      <c r="CP1070" s="46"/>
      <c r="CQ1070" s="46"/>
      <c r="CR1070" s="46"/>
      <c r="CS1070" s="46"/>
      <c r="CT1070" s="46"/>
      <c r="CU1070" s="46"/>
      <c r="CV1070" s="46"/>
      <c r="CW1070" s="46"/>
      <c r="CX1070" s="46"/>
      <c r="CY1070" s="46"/>
      <c r="CZ1070" s="46"/>
      <c r="DA1070" s="46"/>
      <c r="DB1070" s="46"/>
      <c r="DC1070" s="46"/>
      <c r="DD1070" s="46"/>
      <c r="DE1070" s="46"/>
      <c r="DF1070" s="46"/>
      <c r="DG1070" s="46"/>
      <c r="DH1070" s="46"/>
      <c r="DI1070" s="46"/>
      <c r="DJ1070" s="46"/>
      <c r="DK1070" s="46"/>
      <c r="DL1070" s="46"/>
      <c r="DM1070" s="46"/>
      <c r="DN1070" s="46"/>
      <c r="DO1070" s="46"/>
      <c r="DP1070" s="46"/>
      <c r="DQ1070" s="46"/>
      <c r="DR1070" s="46"/>
      <c r="DS1070" s="46"/>
      <c r="DT1070" s="46"/>
      <c r="DU1070" s="46"/>
      <c r="DV1070" s="46"/>
      <c r="DW1070" s="46"/>
      <c r="DX1070" s="46"/>
      <c r="DY1070" s="46"/>
      <c r="DZ1070" s="46"/>
      <c r="EA1070" s="46"/>
      <c r="EB1070" s="46"/>
      <c r="EC1070" s="46"/>
      <c r="ED1070" s="46"/>
      <c r="EE1070" s="46"/>
      <c r="EF1070" s="46"/>
      <c r="EG1070" s="46"/>
      <c r="EH1070" s="46"/>
      <c r="EI1070" s="46"/>
      <c r="EJ1070" s="46"/>
      <c r="EK1070" s="46"/>
      <c r="EL1070" s="46"/>
      <c r="EM1070" s="46"/>
      <c r="EN1070" s="46"/>
      <c r="EO1070" s="46"/>
      <c r="EP1070" s="46"/>
      <c r="EQ1070" s="46"/>
      <c r="ER1070" s="46"/>
      <c r="ES1070" s="46"/>
      <c r="ET1070" s="46"/>
      <c r="EU1070" s="46"/>
      <c r="EV1070" s="46"/>
      <c r="EW1070" s="46"/>
      <c r="EX1070" s="46"/>
      <c r="EY1070" s="46"/>
      <c r="EZ1070" s="46"/>
      <c r="FA1070" s="46"/>
      <c r="FB1070" s="46"/>
      <c r="FC1070" s="46"/>
      <c r="FD1070" s="46"/>
      <c r="FE1070" s="46"/>
      <c r="FF1070" s="46"/>
      <c r="FG1070" s="46"/>
      <c r="FH1070" s="46"/>
      <c r="FI1070" s="46"/>
      <c r="FJ1070" s="46"/>
      <c r="FK1070" s="46"/>
      <c r="FL1070" s="46"/>
      <c r="FM1070" s="46"/>
      <c r="FN1070" s="46"/>
      <c r="FO1070" s="46"/>
      <c r="FP1070" s="46"/>
      <c r="FQ1070" s="46"/>
      <c r="FR1070" s="46"/>
      <c r="FS1070" s="46"/>
      <c r="FT1070" s="46"/>
      <c r="FU1070" s="46"/>
      <c r="FV1070" s="46"/>
      <c r="FW1070" s="46"/>
      <c r="FX1070" s="46"/>
      <c r="FY1070" s="46"/>
      <c r="FZ1070" s="46"/>
      <c r="GA1070" s="46"/>
      <c r="GB1070" s="46"/>
      <c r="GC1070" s="46"/>
      <c r="GD1070" s="46"/>
      <c r="GE1070" s="46"/>
      <c r="GF1070" s="46"/>
      <c r="GG1070" s="46"/>
      <c r="GH1070" s="46"/>
      <c r="GI1070" s="46"/>
      <c r="GJ1070" s="46"/>
      <c r="GK1070" s="46"/>
      <c r="GL1070" s="46"/>
      <c r="GM1070" s="46"/>
      <c r="GN1070" s="46"/>
      <c r="GO1070" s="46"/>
      <c r="GP1070" s="46"/>
      <c r="GQ1070" s="46"/>
      <c r="GR1070" s="46"/>
      <c r="GS1070" s="46"/>
      <c r="GT1070" s="46"/>
      <c r="GU1070" s="46"/>
    </row>
    <row r="1071" spans="1:203" s="43" customFormat="1" ht="31" customHeight="1" collapsed="1" x14ac:dyDescent="0.35">
      <c r="A1071" s="24">
        <f>A1068+1</f>
        <v>452</v>
      </c>
      <c r="B1071" s="25" t="s">
        <v>595</v>
      </c>
      <c r="C1071" s="89" t="s">
        <v>58</v>
      </c>
      <c r="D1071" s="26">
        <v>5</v>
      </c>
      <c r="E1071" s="41"/>
      <c r="F1071" s="42"/>
      <c r="H1071" s="44"/>
      <c r="K1071" s="45"/>
      <c r="L1071" s="45"/>
      <c r="M1071" s="45"/>
      <c r="N1071" s="44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6"/>
      <c r="CG1071" s="46"/>
      <c r="CH1071" s="46"/>
      <c r="CI1071" s="46"/>
      <c r="CJ1071" s="46"/>
      <c r="CK1071" s="46"/>
      <c r="CL1071" s="46"/>
      <c r="CM1071" s="46"/>
      <c r="CN1071" s="46"/>
      <c r="CO1071" s="46"/>
      <c r="CP1071" s="46"/>
      <c r="CQ1071" s="46"/>
      <c r="CR1071" s="46"/>
      <c r="CS1071" s="46"/>
      <c r="CT1071" s="46"/>
      <c r="CU1071" s="46"/>
      <c r="CV1071" s="46"/>
      <c r="CW1071" s="46"/>
      <c r="CX1071" s="46"/>
      <c r="CY1071" s="46"/>
      <c r="CZ1071" s="46"/>
      <c r="DA1071" s="46"/>
      <c r="DB1071" s="46"/>
      <c r="DC1071" s="46"/>
      <c r="DD1071" s="46"/>
      <c r="DE1071" s="46"/>
      <c r="DF1071" s="46"/>
      <c r="DG1071" s="46"/>
      <c r="DH1071" s="46"/>
      <c r="DI1071" s="46"/>
      <c r="DJ1071" s="46"/>
      <c r="DK1071" s="46"/>
      <c r="DL1071" s="46"/>
      <c r="DM1071" s="46"/>
      <c r="DN1071" s="46"/>
      <c r="DO1071" s="46"/>
      <c r="DP1071" s="46"/>
      <c r="DQ1071" s="46"/>
      <c r="DR1071" s="46"/>
      <c r="DS1071" s="46"/>
      <c r="DT1071" s="46"/>
      <c r="DU1071" s="46"/>
      <c r="DV1071" s="46"/>
      <c r="DW1071" s="46"/>
      <c r="DX1071" s="46"/>
      <c r="DY1071" s="46"/>
      <c r="DZ1071" s="46"/>
      <c r="EA1071" s="46"/>
      <c r="EB1071" s="46"/>
      <c r="EC1071" s="46"/>
      <c r="ED1071" s="46"/>
      <c r="EE1071" s="46"/>
      <c r="EF1071" s="46"/>
      <c r="EG1071" s="46"/>
      <c r="EH1071" s="46"/>
      <c r="EI1071" s="46"/>
      <c r="EJ1071" s="46"/>
      <c r="EK1071" s="46"/>
      <c r="EL1071" s="46"/>
      <c r="EM1071" s="46"/>
      <c r="EN1071" s="46"/>
      <c r="EO1071" s="46"/>
      <c r="EP1071" s="46"/>
      <c r="EQ1071" s="46"/>
      <c r="ER1071" s="46"/>
      <c r="ES1071" s="46"/>
      <c r="ET1071" s="46"/>
      <c r="EU1071" s="46"/>
      <c r="EV1071" s="46"/>
      <c r="EW1071" s="46"/>
      <c r="EX1071" s="46"/>
      <c r="EY1071" s="46"/>
      <c r="EZ1071" s="46"/>
      <c r="FA1071" s="46"/>
      <c r="FB1071" s="46"/>
      <c r="FC1071" s="46"/>
      <c r="FD1071" s="46"/>
      <c r="FE1071" s="46"/>
      <c r="FF1071" s="46"/>
      <c r="FG1071" s="46"/>
      <c r="FH1071" s="46"/>
      <c r="FI1071" s="46"/>
      <c r="FJ1071" s="46"/>
      <c r="FK1071" s="46"/>
      <c r="FL1071" s="46"/>
      <c r="FM1071" s="46"/>
      <c r="FN1071" s="46"/>
      <c r="FO1071" s="46"/>
      <c r="FP1071" s="46"/>
      <c r="FQ1071" s="46"/>
      <c r="FR1071" s="46"/>
      <c r="FS1071" s="46"/>
      <c r="FT1071" s="46"/>
      <c r="FU1071" s="46"/>
      <c r="FV1071" s="46"/>
      <c r="FW1071" s="46"/>
      <c r="FX1071" s="46"/>
      <c r="FY1071" s="46"/>
      <c r="FZ1071" s="46"/>
      <c r="GA1071" s="46"/>
      <c r="GB1071" s="46"/>
      <c r="GC1071" s="46"/>
      <c r="GD1071" s="46"/>
      <c r="GE1071" s="46"/>
      <c r="GF1071" s="46"/>
      <c r="GG1071" s="46"/>
      <c r="GH1071" s="46"/>
      <c r="GI1071" s="46"/>
      <c r="GJ1071" s="46"/>
      <c r="GK1071" s="46"/>
      <c r="GL1071" s="46"/>
      <c r="GM1071" s="46"/>
      <c r="GN1071" s="46"/>
      <c r="GO1071" s="46"/>
      <c r="GP1071" s="46"/>
      <c r="GQ1071" s="46"/>
      <c r="GR1071" s="46"/>
      <c r="GS1071" s="46"/>
      <c r="GT1071" s="46"/>
      <c r="GU1071" s="46"/>
    </row>
    <row r="1072" spans="1:203" s="43" customFormat="1" ht="30" hidden="1" customHeight="1" outlineLevel="1" x14ac:dyDescent="0.35">
      <c r="A1072" s="47"/>
      <c r="B1072" s="48" t="s">
        <v>596</v>
      </c>
      <c r="C1072" s="49" t="s">
        <v>58</v>
      </c>
      <c r="D1072" s="49">
        <v>3</v>
      </c>
      <c r="E1072" s="78"/>
      <c r="F1072" s="42"/>
      <c r="H1072" s="44"/>
      <c r="K1072" s="45"/>
      <c r="L1072" s="45"/>
      <c r="M1072" s="45"/>
      <c r="N1072" s="44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  <c r="BP1072" s="46"/>
      <c r="BQ1072" s="46"/>
      <c r="BR1072" s="46"/>
      <c r="BS1072" s="46"/>
      <c r="BT1072" s="46"/>
      <c r="BU1072" s="46"/>
      <c r="BV1072" s="46"/>
      <c r="BW1072" s="46"/>
      <c r="BX1072" s="46"/>
      <c r="BY1072" s="46"/>
      <c r="BZ1072" s="46"/>
      <c r="CA1072" s="46"/>
      <c r="CB1072" s="46"/>
      <c r="CC1072" s="46"/>
      <c r="CD1072" s="46"/>
      <c r="CE1072" s="46"/>
      <c r="CF1072" s="46"/>
      <c r="CG1072" s="46"/>
      <c r="CH1072" s="46"/>
      <c r="CI1072" s="46"/>
      <c r="CJ1072" s="46"/>
      <c r="CK1072" s="46"/>
      <c r="CL1072" s="46"/>
      <c r="CM1072" s="46"/>
      <c r="CN1072" s="46"/>
      <c r="CO1072" s="46"/>
      <c r="CP1072" s="46"/>
      <c r="CQ1072" s="46"/>
      <c r="CR1072" s="46"/>
      <c r="CS1072" s="46"/>
      <c r="CT1072" s="46"/>
      <c r="CU1072" s="46"/>
      <c r="CV1072" s="46"/>
      <c r="CW1072" s="46"/>
      <c r="CX1072" s="46"/>
      <c r="CY1072" s="46"/>
      <c r="CZ1072" s="46"/>
      <c r="DA1072" s="46"/>
      <c r="DB1072" s="46"/>
      <c r="DC1072" s="46"/>
      <c r="DD1072" s="46"/>
      <c r="DE1072" s="46"/>
      <c r="DF1072" s="46"/>
      <c r="DG1072" s="46"/>
      <c r="DH1072" s="46"/>
      <c r="DI1072" s="46"/>
      <c r="DJ1072" s="46"/>
      <c r="DK1072" s="46"/>
      <c r="DL1072" s="46"/>
      <c r="DM1072" s="46"/>
      <c r="DN1072" s="46"/>
      <c r="DO1072" s="46"/>
      <c r="DP1072" s="46"/>
      <c r="DQ1072" s="46"/>
      <c r="DR1072" s="46"/>
      <c r="DS1072" s="46"/>
      <c r="DT1072" s="46"/>
      <c r="DU1072" s="46"/>
      <c r="DV1072" s="46"/>
      <c r="DW1072" s="46"/>
      <c r="DX1072" s="46"/>
      <c r="DY1072" s="46"/>
      <c r="DZ1072" s="46"/>
      <c r="EA1072" s="46"/>
      <c r="EB1072" s="46"/>
      <c r="EC1072" s="46"/>
      <c r="ED1072" s="46"/>
      <c r="EE1072" s="46"/>
      <c r="EF1072" s="46"/>
      <c r="EG1072" s="46"/>
      <c r="EH1072" s="46"/>
      <c r="EI1072" s="46"/>
      <c r="EJ1072" s="46"/>
      <c r="EK1072" s="46"/>
      <c r="EL1072" s="46"/>
      <c r="EM1072" s="46"/>
      <c r="EN1072" s="46"/>
      <c r="EO1072" s="46"/>
      <c r="EP1072" s="46"/>
      <c r="EQ1072" s="46"/>
      <c r="ER1072" s="46"/>
      <c r="ES1072" s="46"/>
      <c r="ET1072" s="46"/>
      <c r="EU1072" s="46"/>
      <c r="EV1072" s="46"/>
      <c r="EW1072" s="46"/>
      <c r="EX1072" s="46"/>
      <c r="EY1072" s="46"/>
      <c r="EZ1072" s="46"/>
      <c r="FA1072" s="46"/>
      <c r="FB1072" s="46"/>
      <c r="FC1072" s="46"/>
      <c r="FD1072" s="46"/>
      <c r="FE1072" s="46"/>
      <c r="FF1072" s="46"/>
      <c r="FG1072" s="46"/>
      <c r="FH1072" s="46"/>
      <c r="FI1072" s="46"/>
      <c r="FJ1072" s="46"/>
      <c r="FK1072" s="46"/>
      <c r="FL1072" s="46"/>
      <c r="FM1072" s="46"/>
      <c r="FN1072" s="46"/>
      <c r="FO1072" s="46"/>
      <c r="FP1072" s="46"/>
      <c r="FQ1072" s="46"/>
      <c r="FR1072" s="46"/>
      <c r="FS1072" s="46"/>
      <c r="FT1072" s="46"/>
      <c r="FU1072" s="46"/>
      <c r="FV1072" s="46"/>
      <c r="FW1072" s="46"/>
      <c r="FX1072" s="46"/>
      <c r="FY1072" s="46"/>
      <c r="FZ1072" s="46"/>
      <c r="GA1072" s="46"/>
      <c r="GB1072" s="46"/>
      <c r="GC1072" s="46"/>
      <c r="GD1072" s="46"/>
      <c r="GE1072" s="46"/>
      <c r="GF1072" s="46"/>
      <c r="GG1072" s="46"/>
      <c r="GH1072" s="46"/>
      <c r="GI1072" s="46"/>
      <c r="GJ1072" s="46"/>
      <c r="GK1072" s="46"/>
      <c r="GL1072" s="46"/>
      <c r="GM1072" s="46"/>
      <c r="GN1072" s="46"/>
      <c r="GO1072" s="46"/>
      <c r="GP1072" s="46"/>
      <c r="GQ1072" s="46"/>
      <c r="GR1072" s="46"/>
      <c r="GS1072" s="46"/>
      <c r="GT1072" s="46"/>
      <c r="GU1072" s="46"/>
    </row>
    <row r="1073" spans="1:203" s="43" customFormat="1" ht="30" hidden="1" customHeight="1" outlineLevel="1" x14ac:dyDescent="0.35">
      <c r="A1073" s="47"/>
      <c r="B1073" s="48" t="s">
        <v>597</v>
      </c>
      <c r="C1073" s="49" t="s">
        <v>58</v>
      </c>
      <c r="D1073" s="49">
        <v>2</v>
      </c>
      <c r="E1073" s="78"/>
      <c r="F1073" s="42"/>
      <c r="H1073" s="44"/>
      <c r="K1073" s="45"/>
      <c r="L1073" s="45"/>
      <c r="M1073" s="45"/>
      <c r="N1073" s="44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  <c r="BP1073" s="46"/>
      <c r="BQ1073" s="46"/>
      <c r="BR1073" s="46"/>
      <c r="BS1073" s="46"/>
      <c r="BT1073" s="46"/>
      <c r="BU1073" s="46"/>
      <c r="BV1073" s="46"/>
      <c r="BW1073" s="46"/>
      <c r="BX1073" s="46"/>
      <c r="BY1073" s="46"/>
      <c r="BZ1073" s="46"/>
      <c r="CA1073" s="46"/>
      <c r="CB1073" s="46"/>
      <c r="CC1073" s="46"/>
      <c r="CD1073" s="46"/>
      <c r="CE1073" s="46"/>
      <c r="CF1073" s="46"/>
      <c r="CG1073" s="46"/>
      <c r="CH1073" s="46"/>
      <c r="CI1073" s="46"/>
      <c r="CJ1073" s="46"/>
      <c r="CK1073" s="46"/>
      <c r="CL1073" s="46"/>
      <c r="CM1073" s="46"/>
      <c r="CN1073" s="46"/>
      <c r="CO1073" s="46"/>
      <c r="CP1073" s="46"/>
      <c r="CQ1073" s="46"/>
      <c r="CR1073" s="46"/>
      <c r="CS1073" s="46"/>
      <c r="CT1073" s="46"/>
      <c r="CU1073" s="46"/>
      <c r="CV1073" s="46"/>
      <c r="CW1073" s="46"/>
      <c r="CX1073" s="46"/>
      <c r="CY1073" s="46"/>
      <c r="CZ1073" s="46"/>
      <c r="DA1073" s="46"/>
      <c r="DB1073" s="46"/>
      <c r="DC1073" s="46"/>
      <c r="DD1073" s="46"/>
      <c r="DE1073" s="46"/>
      <c r="DF1073" s="46"/>
      <c r="DG1073" s="46"/>
      <c r="DH1073" s="46"/>
      <c r="DI1073" s="46"/>
      <c r="DJ1073" s="46"/>
      <c r="DK1073" s="46"/>
      <c r="DL1073" s="46"/>
      <c r="DM1073" s="46"/>
      <c r="DN1073" s="46"/>
      <c r="DO1073" s="46"/>
      <c r="DP1073" s="46"/>
      <c r="DQ1073" s="46"/>
      <c r="DR1073" s="46"/>
      <c r="DS1073" s="46"/>
      <c r="DT1073" s="46"/>
      <c r="DU1073" s="46"/>
      <c r="DV1073" s="46"/>
      <c r="DW1073" s="46"/>
      <c r="DX1073" s="46"/>
      <c r="DY1073" s="46"/>
      <c r="DZ1073" s="46"/>
      <c r="EA1073" s="46"/>
      <c r="EB1073" s="46"/>
      <c r="EC1073" s="46"/>
      <c r="ED1073" s="46"/>
      <c r="EE1073" s="46"/>
      <c r="EF1073" s="46"/>
      <c r="EG1073" s="46"/>
      <c r="EH1073" s="46"/>
      <c r="EI1073" s="46"/>
      <c r="EJ1073" s="46"/>
      <c r="EK1073" s="46"/>
      <c r="EL1073" s="46"/>
      <c r="EM1073" s="46"/>
      <c r="EN1073" s="46"/>
      <c r="EO1073" s="46"/>
      <c r="EP1073" s="46"/>
      <c r="EQ1073" s="46"/>
      <c r="ER1073" s="46"/>
      <c r="ES1073" s="46"/>
      <c r="ET1073" s="46"/>
      <c r="EU1073" s="46"/>
      <c r="EV1073" s="46"/>
      <c r="EW1073" s="46"/>
      <c r="EX1073" s="46"/>
      <c r="EY1073" s="46"/>
      <c r="EZ1073" s="46"/>
      <c r="FA1073" s="46"/>
      <c r="FB1073" s="46"/>
      <c r="FC1073" s="46"/>
      <c r="FD1073" s="46"/>
      <c r="FE1073" s="46"/>
      <c r="FF1073" s="46"/>
      <c r="FG1073" s="46"/>
      <c r="FH1073" s="46"/>
      <c r="FI1073" s="46"/>
      <c r="FJ1073" s="46"/>
      <c r="FK1073" s="46"/>
      <c r="FL1073" s="46"/>
      <c r="FM1073" s="46"/>
      <c r="FN1073" s="46"/>
      <c r="FO1073" s="46"/>
      <c r="FP1073" s="46"/>
      <c r="FQ1073" s="46"/>
      <c r="FR1073" s="46"/>
      <c r="FS1073" s="46"/>
      <c r="FT1073" s="46"/>
      <c r="FU1073" s="46"/>
      <c r="FV1073" s="46"/>
      <c r="FW1073" s="46"/>
      <c r="FX1073" s="46"/>
      <c r="FY1073" s="46"/>
      <c r="FZ1073" s="46"/>
      <c r="GA1073" s="46"/>
      <c r="GB1073" s="46"/>
      <c r="GC1073" s="46"/>
      <c r="GD1073" s="46"/>
      <c r="GE1073" s="46"/>
      <c r="GF1073" s="46"/>
      <c r="GG1073" s="46"/>
      <c r="GH1073" s="46"/>
      <c r="GI1073" s="46"/>
      <c r="GJ1073" s="46"/>
      <c r="GK1073" s="46"/>
      <c r="GL1073" s="46"/>
      <c r="GM1073" s="46"/>
      <c r="GN1073" s="46"/>
      <c r="GO1073" s="46"/>
      <c r="GP1073" s="46"/>
      <c r="GQ1073" s="46"/>
      <c r="GR1073" s="46"/>
      <c r="GS1073" s="46"/>
      <c r="GT1073" s="46"/>
      <c r="GU1073" s="46"/>
    </row>
    <row r="1074" spans="1:203" s="39" customFormat="1" ht="30" customHeight="1" collapsed="1" x14ac:dyDescent="0.35">
      <c r="A1074" s="153" t="s">
        <v>598</v>
      </c>
      <c r="B1074" s="153"/>
      <c r="C1074" s="153"/>
      <c r="D1074" s="153"/>
      <c r="E1074" s="153"/>
      <c r="F1074" s="34"/>
      <c r="G1074" s="35"/>
      <c r="H1074" s="36"/>
      <c r="I1074" s="37"/>
      <c r="J1074" s="37"/>
      <c r="K1074" s="38"/>
      <c r="L1074" s="38"/>
      <c r="M1074" s="38"/>
      <c r="N1074" s="36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</row>
    <row r="1075" spans="1:203" s="39" customFormat="1" ht="21" customHeight="1" x14ac:dyDescent="0.35">
      <c r="A1075" s="158" t="s">
        <v>599</v>
      </c>
      <c r="B1075" s="158"/>
      <c r="C1075" s="158"/>
      <c r="D1075" s="158"/>
      <c r="E1075" s="158"/>
      <c r="F1075" s="34"/>
      <c r="G1075" s="35"/>
      <c r="H1075" s="36"/>
      <c r="I1075" s="37"/>
      <c r="J1075" s="37"/>
      <c r="K1075" s="38"/>
      <c r="L1075" s="38"/>
      <c r="M1075" s="38"/>
      <c r="N1075" s="36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</row>
    <row r="1076" spans="1:203" s="33" customFormat="1" ht="31" customHeight="1" x14ac:dyDescent="0.35">
      <c r="A1076" s="24">
        <f>A1071+1</f>
        <v>453</v>
      </c>
      <c r="B1076" s="25" t="s">
        <v>600</v>
      </c>
      <c r="C1076" s="26" t="s">
        <v>19</v>
      </c>
      <c r="D1076" s="80">
        <f>3*3*2</f>
        <v>18</v>
      </c>
      <c r="E1076" s="28"/>
      <c r="F1076" s="29"/>
      <c r="G1076" s="30"/>
      <c r="H1076" s="31"/>
      <c r="I1076" s="30"/>
      <c r="J1076" s="30"/>
      <c r="K1076" s="32"/>
      <c r="L1076" s="32"/>
      <c r="M1076" s="32"/>
      <c r="N1076" s="31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</row>
    <row r="1077" spans="1:203" s="39" customFormat="1" ht="36" customHeight="1" x14ac:dyDescent="0.35">
      <c r="A1077" s="24">
        <f>A1076+1</f>
        <v>454</v>
      </c>
      <c r="B1077" s="25" t="s">
        <v>601</v>
      </c>
      <c r="C1077" s="26" t="s">
        <v>19</v>
      </c>
      <c r="D1077" s="40">
        <v>0.12</v>
      </c>
      <c r="E1077" s="64"/>
      <c r="F1077" s="34"/>
      <c r="G1077" s="35"/>
      <c r="H1077" s="36"/>
      <c r="I1077" s="37"/>
      <c r="J1077" s="37"/>
      <c r="K1077" s="38"/>
      <c r="L1077" s="38"/>
      <c r="M1077" s="38"/>
      <c r="N1077" s="36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</row>
    <row r="1078" spans="1:203" s="58" customFormat="1" ht="30" hidden="1" customHeight="1" outlineLevel="1" x14ac:dyDescent="0.4">
      <c r="A1078" s="54"/>
      <c r="B1078" s="48" t="s">
        <v>134</v>
      </c>
      <c r="C1078" s="49" t="s">
        <v>19</v>
      </c>
      <c r="D1078" s="77">
        <v>1.2E-2</v>
      </c>
      <c r="E1078" s="51"/>
      <c r="F1078" s="57"/>
    </row>
    <row r="1079" spans="1:203" ht="33" customHeight="1" collapsed="1" x14ac:dyDescent="0.35">
      <c r="A1079" s="24">
        <f>A1077+1</f>
        <v>455</v>
      </c>
      <c r="B1079" s="25" t="s">
        <v>64</v>
      </c>
      <c r="C1079" s="26" t="s">
        <v>19</v>
      </c>
      <c r="D1079" s="40">
        <v>1.8</v>
      </c>
      <c r="E1079" s="41"/>
      <c r="F1079" s="53"/>
    </row>
    <row r="1080" spans="1:203" ht="34.5" hidden="1" customHeight="1" outlineLevel="1" x14ac:dyDescent="0.35">
      <c r="A1080" s="47"/>
      <c r="B1080" s="48" t="s">
        <v>602</v>
      </c>
      <c r="C1080" s="75" t="s">
        <v>14</v>
      </c>
      <c r="D1080" s="77">
        <f>5*6.04/1000</f>
        <v>3.0199999999999998E-2</v>
      </c>
      <c r="E1080" s="78"/>
      <c r="F1080" s="42"/>
    </row>
    <row r="1081" spans="1:203" ht="34.5" hidden="1" customHeight="1" outlineLevel="1" x14ac:dyDescent="0.35">
      <c r="A1081" s="47"/>
      <c r="B1081" s="48" t="s">
        <v>137</v>
      </c>
      <c r="C1081" s="75" t="s">
        <v>14</v>
      </c>
      <c r="D1081" s="77">
        <f>4*18.69/1000</f>
        <v>7.4760000000000007E-2</v>
      </c>
      <c r="E1081" s="78"/>
      <c r="F1081" s="42"/>
    </row>
    <row r="1082" spans="1:203" s="58" customFormat="1" ht="30" hidden="1" customHeight="1" outlineLevel="1" x14ac:dyDescent="0.4">
      <c r="A1082" s="54"/>
      <c r="B1082" s="48" t="s">
        <v>65</v>
      </c>
      <c r="C1082" s="49" t="s">
        <v>19</v>
      </c>
      <c r="D1082" s="75">
        <v>1.8</v>
      </c>
      <c r="E1082" s="51"/>
      <c r="F1082" s="57"/>
    </row>
    <row r="1083" spans="1:203" s="58" customFormat="1" ht="30" customHeight="1" collapsed="1" x14ac:dyDescent="0.4">
      <c r="A1083" s="24">
        <f>A1079+1</f>
        <v>456</v>
      </c>
      <c r="B1083" s="59" t="s">
        <v>603</v>
      </c>
      <c r="C1083" s="70" t="s">
        <v>67</v>
      </c>
      <c r="D1083" s="40" t="s">
        <v>604</v>
      </c>
      <c r="E1083" s="66"/>
      <c r="F1083" s="57"/>
    </row>
    <row r="1084" spans="1:203" s="58" customFormat="1" ht="30" hidden="1" customHeight="1" outlineLevel="1" x14ac:dyDescent="0.4">
      <c r="A1084" s="54"/>
      <c r="B1084" s="48" t="s">
        <v>605</v>
      </c>
      <c r="C1084" s="49" t="s">
        <v>58</v>
      </c>
      <c r="D1084" s="55">
        <v>3</v>
      </c>
      <c r="E1084" s="51">
        <v>5.0000000000000001E-3</v>
      </c>
      <c r="F1084" s="57"/>
    </row>
    <row r="1085" spans="1:203" s="58" customFormat="1" ht="30" customHeight="1" collapsed="1" x14ac:dyDescent="0.4">
      <c r="A1085" s="24">
        <f>A1083+1</f>
        <v>457</v>
      </c>
      <c r="B1085" s="59" t="s">
        <v>606</v>
      </c>
      <c r="C1085" s="70" t="s">
        <v>35</v>
      </c>
      <c r="D1085" s="40" t="s">
        <v>607</v>
      </c>
      <c r="E1085" s="66"/>
      <c r="F1085" s="57"/>
    </row>
    <row r="1086" spans="1:203" ht="31" customHeight="1" x14ac:dyDescent="0.35">
      <c r="A1086" s="24">
        <f>A1085+1</f>
        <v>458</v>
      </c>
      <c r="B1086" s="25" t="s">
        <v>174</v>
      </c>
      <c r="C1086" s="26" t="s">
        <v>29</v>
      </c>
      <c r="D1086" s="80">
        <f>(2.2*0.9*4)*2</f>
        <v>15.840000000000002</v>
      </c>
      <c r="E1086" s="41"/>
      <c r="F1086" s="42"/>
    </row>
    <row r="1087" spans="1:203" ht="31" hidden="1" customHeight="1" outlineLevel="1" x14ac:dyDescent="0.35">
      <c r="A1087" s="47"/>
      <c r="B1087" s="48" t="s">
        <v>175</v>
      </c>
      <c r="C1087" s="49" t="s">
        <v>74</v>
      </c>
      <c r="D1087" s="68">
        <f>15.8*2*2</f>
        <v>63.2</v>
      </c>
      <c r="E1087" s="69">
        <v>6.3E-2</v>
      </c>
      <c r="F1087" s="42"/>
    </row>
    <row r="1088" spans="1:203" s="39" customFormat="1" ht="21" customHeight="1" collapsed="1" x14ac:dyDescent="0.35">
      <c r="A1088" s="158" t="s">
        <v>608</v>
      </c>
      <c r="B1088" s="158"/>
      <c r="C1088" s="158"/>
      <c r="D1088" s="158"/>
      <c r="E1088" s="158"/>
      <c r="F1088" s="34"/>
      <c r="G1088" s="35"/>
      <c r="H1088" s="36"/>
      <c r="I1088" s="37"/>
      <c r="J1088" s="37"/>
      <c r="K1088" s="38"/>
      <c r="L1088" s="38"/>
      <c r="M1088" s="38"/>
      <c r="N1088" s="36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</row>
    <row r="1089" spans="1:28" s="39" customFormat="1" ht="21" customHeight="1" x14ac:dyDescent="0.35">
      <c r="A1089" s="154" t="s">
        <v>609</v>
      </c>
      <c r="B1089" s="154"/>
      <c r="C1089" s="154"/>
      <c r="D1089" s="154"/>
      <c r="E1089" s="154"/>
      <c r="F1089" s="34"/>
      <c r="G1089" s="35"/>
      <c r="H1089" s="36"/>
      <c r="I1089" s="37"/>
      <c r="J1089" s="37"/>
      <c r="K1089" s="38"/>
      <c r="L1089" s="38"/>
      <c r="M1089" s="38"/>
      <c r="N1089" s="36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</row>
    <row r="1090" spans="1:28" s="58" customFormat="1" ht="30" customHeight="1" x14ac:dyDescent="0.4">
      <c r="A1090" s="24">
        <f>A1086+1</f>
        <v>459</v>
      </c>
      <c r="B1090" s="59" t="s">
        <v>138</v>
      </c>
      <c r="C1090" s="70" t="s">
        <v>67</v>
      </c>
      <c r="D1090" s="40" t="s">
        <v>610</v>
      </c>
      <c r="E1090" s="66"/>
      <c r="F1090" s="57"/>
    </row>
    <row r="1091" spans="1:28" s="58" customFormat="1" ht="30" hidden="1" customHeight="1" outlineLevel="1" x14ac:dyDescent="0.4">
      <c r="A1091" s="54"/>
      <c r="B1091" s="48" t="s">
        <v>611</v>
      </c>
      <c r="C1091" s="49" t="s">
        <v>58</v>
      </c>
      <c r="D1091" s="55">
        <v>20</v>
      </c>
      <c r="E1091" s="51">
        <v>9.1999999999999998E-2</v>
      </c>
      <c r="F1091" s="57"/>
    </row>
    <row r="1092" spans="1:28" s="39" customFormat="1" ht="36" customHeight="1" collapsed="1" x14ac:dyDescent="0.35">
      <c r="A1092" s="24">
        <f>A1090+1</f>
        <v>460</v>
      </c>
      <c r="B1092" s="25" t="s">
        <v>66</v>
      </c>
      <c r="C1092" s="26" t="s">
        <v>67</v>
      </c>
      <c r="D1092" s="40" t="s">
        <v>612</v>
      </c>
      <c r="E1092" s="64"/>
      <c r="F1092" s="34"/>
      <c r="G1092" s="35"/>
      <c r="H1092" s="36"/>
      <c r="I1092" s="37"/>
      <c r="J1092" s="37"/>
      <c r="K1092" s="38"/>
      <c r="L1092" s="38"/>
      <c r="M1092" s="38"/>
      <c r="N1092" s="36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</row>
    <row r="1093" spans="1:28" s="58" customFormat="1" ht="30" hidden="1" customHeight="1" outlineLevel="1" x14ac:dyDescent="0.4">
      <c r="A1093" s="54"/>
      <c r="B1093" s="48" t="s">
        <v>613</v>
      </c>
      <c r="C1093" s="49" t="s">
        <v>14</v>
      </c>
      <c r="D1093" s="65">
        <f>8.38*20/1000*1.0012</f>
        <v>0.16780112000000005</v>
      </c>
      <c r="E1093" s="51"/>
      <c r="F1093" s="57"/>
    </row>
    <row r="1094" spans="1:28" s="58" customFormat="1" ht="30" hidden="1" customHeight="1" outlineLevel="1" x14ac:dyDescent="0.4">
      <c r="A1094" s="54"/>
      <c r="B1094" s="48" t="s">
        <v>185</v>
      </c>
      <c r="C1094" s="49" t="s">
        <v>14</v>
      </c>
      <c r="D1094" s="65">
        <f>(2.52+2)*20/1000*1.0012</f>
        <v>9.0508480000000002E-2</v>
      </c>
      <c r="E1094" s="51"/>
      <c r="F1094" s="57"/>
    </row>
    <row r="1095" spans="1:28" s="58" customFormat="1" ht="30" customHeight="1" collapsed="1" x14ac:dyDescent="0.4">
      <c r="A1095" s="24">
        <f>A1092+1</f>
        <v>461</v>
      </c>
      <c r="B1095" s="59" t="s">
        <v>71</v>
      </c>
      <c r="C1095" s="26" t="s">
        <v>67</v>
      </c>
      <c r="D1095" s="40" t="s">
        <v>612</v>
      </c>
      <c r="E1095" s="66"/>
      <c r="F1095" s="57"/>
    </row>
    <row r="1096" spans="1:28" ht="36" customHeight="1" x14ac:dyDescent="0.35">
      <c r="A1096" s="24">
        <f>A1095+1</f>
        <v>462</v>
      </c>
      <c r="B1096" s="59" t="s">
        <v>614</v>
      </c>
      <c r="C1096" s="26" t="s">
        <v>29</v>
      </c>
      <c r="D1096" s="67">
        <f>(((0.089*0.4*3.14)*20)+(0.2*0.2*2*20)+(0.08*0.1*4*2*20)+(0.25*0.25*2*20))*2</f>
        <v>15.231360000000002</v>
      </c>
      <c r="E1096" s="41"/>
      <c r="F1096" s="42"/>
    </row>
    <row r="1097" spans="1:28" ht="36" customHeight="1" x14ac:dyDescent="0.35">
      <c r="A1097" s="24">
        <f>A1096+1</f>
        <v>463</v>
      </c>
      <c r="B1097" s="59" t="s">
        <v>75</v>
      </c>
      <c r="C1097" s="26" t="s">
        <v>29</v>
      </c>
      <c r="D1097" s="67">
        <v>15.2</v>
      </c>
      <c r="E1097" s="41"/>
      <c r="F1097" s="42"/>
    </row>
    <row r="1098" spans="1:28" ht="36" customHeight="1" x14ac:dyDescent="0.35">
      <c r="A1098" s="24">
        <f>A1097+1</f>
        <v>464</v>
      </c>
      <c r="B1098" s="59" t="s">
        <v>76</v>
      </c>
      <c r="C1098" s="26" t="s">
        <v>29</v>
      </c>
      <c r="D1098" s="67">
        <v>15.2</v>
      </c>
      <c r="E1098" s="41"/>
      <c r="F1098" s="42"/>
    </row>
    <row r="1099" spans="1:28" s="58" customFormat="1" ht="30" customHeight="1" x14ac:dyDescent="0.4">
      <c r="A1099" s="24">
        <f>A1098+1</f>
        <v>465</v>
      </c>
      <c r="B1099" s="59" t="s">
        <v>615</v>
      </c>
      <c r="C1099" s="70" t="s">
        <v>29</v>
      </c>
      <c r="D1099" s="67">
        <v>15.2</v>
      </c>
      <c r="E1099" s="66"/>
      <c r="F1099" s="57"/>
    </row>
    <row r="1100" spans="1:28" s="58" customFormat="1" ht="30" hidden="1" customHeight="1" outlineLevel="1" x14ac:dyDescent="0.4">
      <c r="A1100" s="54"/>
      <c r="B1100" s="48" t="s">
        <v>80</v>
      </c>
      <c r="C1100" s="49" t="s">
        <v>74</v>
      </c>
      <c r="D1100" s="68">
        <f>15.2*0.36*2</f>
        <v>10.943999999999999</v>
      </c>
      <c r="E1100" s="69">
        <v>1.0999999999999999E-2</v>
      </c>
      <c r="F1100" s="57"/>
    </row>
    <row r="1101" spans="1:28" s="39" customFormat="1" ht="21" customHeight="1" collapsed="1" x14ac:dyDescent="0.35">
      <c r="A1101" s="154" t="s">
        <v>616</v>
      </c>
      <c r="B1101" s="154"/>
      <c r="C1101" s="154"/>
      <c r="D1101" s="154"/>
      <c r="E1101" s="154"/>
      <c r="F1101" s="34"/>
      <c r="G1101" s="35"/>
      <c r="H1101" s="36"/>
      <c r="I1101" s="37"/>
      <c r="J1101" s="37"/>
      <c r="K1101" s="38"/>
      <c r="L1101" s="38"/>
      <c r="M1101" s="38"/>
      <c r="N1101" s="36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</row>
    <row r="1102" spans="1:28" s="39" customFormat="1" ht="36" customHeight="1" x14ac:dyDescent="0.35">
      <c r="A1102" s="24">
        <f>A1099+1</f>
        <v>466</v>
      </c>
      <c r="B1102" s="25" t="s">
        <v>66</v>
      </c>
      <c r="C1102" s="26" t="s">
        <v>67</v>
      </c>
      <c r="D1102" s="40" t="s">
        <v>617</v>
      </c>
      <c r="E1102" s="64"/>
      <c r="F1102" s="34"/>
      <c r="G1102" s="35"/>
      <c r="H1102" s="36"/>
      <c r="I1102" s="37"/>
      <c r="J1102" s="37"/>
      <c r="K1102" s="38"/>
      <c r="L1102" s="38"/>
      <c r="M1102" s="38"/>
      <c r="N1102" s="36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</row>
    <row r="1103" spans="1:28" s="58" customFormat="1" ht="30" hidden="1" customHeight="1" outlineLevel="1" x14ac:dyDescent="0.4">
      <c r="A1103" s="54"/>
      <c r="B1103" s="48" t="s">
        <v>613</v>
      </c>
      <c r="C1103" s="49" t="s">
        <v>14</v>
      </c>
      <c r="D1103" s="65">
        <f>8.38*1/1000*1.012</f>
        <v>8.4805599999999998E-3</v>
      </c>
      <c r="E1103" s="51"/>
      <c r="F1103" s="57"/>
    </row>
    <row r="1104" spans="1:28" s="58" customFormat="1" ht="30" hidden="1" customHeight="1" outlineLevel="1" x14ac:dyDescent="0.4">
      <c r="A1104" s="54"/>
      <c r="B1104" s="48" t="s">
        <v>185</v>
      </c>
      <c r="C1104" s="49" t="s">
        <v>14</v>
      </c>
      <c r="D1104" s="65">
        <f>(2.52)*1/1000*1.1</f>
        <v>2.7720000000000002E-3</v>
      </c>
      <c r="E1104" s="51"/>
      <c r="F1104" s="57"/>
    </row>
    <row r="1105" spans="1:28" ht="36" customHeight="1" collapsed="1" x14ac:dyDescent="0.35">
      <c r="A1105" s="24">
        <f>A1102+1</f>
        <v>467</v>
      </c>
      <c r="B1105" s="59" t="s">
        <v>71</v>
      </c>
      <c r="C1105" s="26" t="s">
        <v>67</v>
      </c>
      <c r="D1105" s="40" t="s">
        <v>617</v>
      </c>
      <c r="E1105" s="41"/>
      <c r="F1105" s="42"/>
    </row>
    <row r="1106" spans="1:28" ht="36" customHeight="1" x14ac:dyDescent="0.35">
      <c r="A1106" s="24">
        <f>A1105+1</f>
        <v>468</v>
      </c>
      <c r="B1106" s="59" t="s">
        <v>614</v>
      </c>
      <c r="C1106" s="26" t="s">
        <v>29</v>
      </c>
      <c r="D1106" s="67">
        <f>(((0.089*0.4*3.14)*1)+(0.2*0.2*2*1))*2</f>
        <v>0.38356800000000002</v>
      </c>
      <c r="E1106" s="41"/>
      <c r="F1106" s="42"/>
    </row>
    <row r="1107" spans="1:28" ht="36" customHeight="1" x14ac:dyDescent="0.35">
      <c r="A1107" s="24">
        <f>A1106+1</f>
        <v>469</v>
      </c>
      <c r="B1107" s="59" t="s">
        <v>75</v>
      </c>
      <c r="C1107" s="26" t="s">
        <v>29</v>
      </c>
      <c r="D1107" s="67">
        <f>(((0.089*0.4*3.14)*1)+(0.2*0.2*2*1))*2</f>
        <v>0.38356800000000002</v>
      </c>
      <c r="E1107" s="41"/>
      <c r="F1107" s="42"/>
    </row>
    <row r="1108" spans="1:28" ht="36" customHeight="1" x14ac:dyDescent="0.35">
      <c r="A1108" s="24">
        <f>A1107+1</f>
        <v>470</v>
      </c>
      <c r="B1108" s="59" t="s">
        <v>76</v>
      </c>
      <c r="C1108" s="26" t="s">
        <v>29</v>
      </c>
      <c r="D1108" s="67">
        <f>(((0.089*0.4*3.14)*1)+(0.2*0.2*2*1))*2</f>
        <v>0.38356800000000002</v>
      </c>
      <c r="E1108" s="41"/>
      <c r="F1108" s="42"/>
    </row>
    <row r="1109" spans="1:28" s="58" customFormat="1" ht="30" customHeight="1" x14ac:dyDescent="0.4">
      <c r="A1109" s="24">
        <f>A1108+1</f>
        <v>471</v>
      </c>
      <c r="B1109" s="59" t="s">
        <v>615</v>
      </c>
      <c r="C1109" s="70" t="s">
        <v>29</v>
      </c>
      <c r="D1109" s="67">
        <f>(((0.089*0.4*3.14)*1)+(0.2*0.2*2*1))*2</f>
        <v>0.38356800000000002</v>
      </c>
      <c r="E1109" s="66"/>
      <c r="F1109" s="57"/>
    </row>
    <row r="1110" spans="1:28" s="58" customFormat="1" ht="30" hidden="1" customHeight="1" outlineLevel="1" x14ac:dyDescent="0.4">
      <c r="A1110" s="54"/>
      <c r="B1110" s="48" t="s">
        <v>80</v>
      </c>
      <c r="C1110" s="49" t="s">
        <v>74</v>
      </c>
      <c r="D1110" s="68">
        <f>0.4*0.36*2</f>
        <v>0.28799999999999998</v>
      </c>
      <c r="E1110" s="69">
        <v>1E-3</v>
      </c>
      <c r="F1110" s="57"/>
    </row>
    <row r="1111" spans="1:28" s="39" customFormat="1" ht="21" customHeight="1" collapsed="1" x14ac:dyDescent="0.35">
      <c r="A1111" s="158" t="s">
        <v>618</v>
      </c>
      <c r="B1111" s="158"/>
      <c r="C1111" s="158"/>
      <c r="D1111" s="158"/>
      <c r="E1111" s="158"/>
      <c r="F1111" s="34"/>
      <c r="G1111" s="35"/>
      <c r="H1111" s="36"/>
      <c r="I1111" s="37"/>
      <c r="J1111" s="37"/>
      <c r="K1111" s="38"/>
      <c r="L1111" s="38"/>
      <c r="M1111" s="38"/>
      <c r="N1111" s="36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</row>
    <row r="1112" spans="1:28" s="39" customFormat="1" ht="21" customHeight="1" x14ac:dyDescent="0.35">
      <c r="A1112" s="154" t="s">
        <v>181</v>
      </c>
      <c r="B1112" s="154"/>
      <c r="C1112" s="154"/>
      <c r="D1112" s="154"/>
      <c r="E1112" s="154"/>
      <c r="F1112" s="34"/>
      <c r="G1112" s="35"/>
      <c r="H1112" s="36"/>
      <c r="I1112" s="37"/>
      <c r="J1112" s="37"/>
      <c r="K1112" s="38"/>
      <c r="L1112" s="38"/>
      <c r="M1112" s="38"/>
      <c r="N1112" s="36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</row>
    <row r="1113" spans="1:28" s="58" customFormat="1" ht="30" customHeight="1" x14ac:dyDescent="0.4">
      <c r="A1113" s="24">
        <f>A1109+1</f>
        <v>472</v>
      </c>
      <c r="B1113" s="59" t="s">
        <v>619</v>
      </c>
      <c r="C1113" s="70" t="s">
        <v>14</v>
      </c>
      <c r="D1113" s="27">
        <f>0.673/1.1</f>
        <v>0.61181818181818182</v>
      </c>
      <c r="E1113" s="66"/>
      <c r="F1113" s="57"/>
    </row>
    <row r="1114" spans="1:28" s="58" customFormat="1" ht="30" hidden="1" customHeight="1" outlineLevel="1" x14ac:dyDescent="0.4">
      <c r="A1114" s="54"/>
      <c r="B1114" s="48" t="s">
        <v>186</v>
      </c>
      <c r="C1114" s="49" t="s">
        <v>14</v>
      </c>
      <c r="D1114" s="65">
        <f>(27.04+27.04+27.04+27.04+20.8+20.8+9.36+9.36+4.68+4.68+4.68+4.68)*1.012/1000</f>
        <v>0.18944640000000004</v>
      </c>
      <c r="E1114" s="51"/>
      <c r="F1114" s="57"/>
    </row>
    <row r="1115" spans="1:28" s="58" customFormat="1" ht="30" hidden="1" customHeight="1" outlineLevel="1" x14ac:dyDescent="0.4">
      <c r="A1115" s="54"/>
      <c r="B1115" s="48" t="s">
        <v>114</v>
      </c>
      <c r="C1115" s="49" t="s">
        <v>14</v>
      </c>
      <c r="D1115" s="65">
        <f>(3.96+11.9+66.65+21.56)*1.012/1000</f>
        <v>0.10531884000000001</v>
      </c>
      <c r="E1115" s="51"/>
      <c r="F1115" s="57"/>
    </row>
    <row r="1116" spans="1:28" s="58" customFormat="1" ht="30" hidden="1" customHeight="1" outlineLevel="1" x14ac:dyDescent="0.4">
      <c r="A1116" s="54"/>
      <c r="B1116" s="48" t="s">
        <v>110</v>
      </c>
      <c r="C1116" s="49" t="s">
        <v>14</v>
      </c>
      <c r="D1116" s="65">
        <f>(83.03+34.28)*1.012/1000</f>
        <v>0.11871772</v>
      </c>
      <c r="E1116" s="51"/>
      <c r="F1116" s="57"/>
    </row>
    <row r="1117" spans="1:28" s="58" customFormat="1" ht="30" hidden="1" customHeight="1" outlineLevel="1" x14ac:dyDescent="0.4">
      <c r="A1117" s="54"/>
      <c r="B1117" s="48" t="s">
        <v>111</v>
      </c>
      <c r="C1117" s="49" t="s">
        <v>14</v>
      </c>
      <c r="D1117" s="65">
        <f>182.53*1.012/1000</f>
        <v>0.18472036</v>
      </c>
      <c r="E1117" s="51"/>
      <c r="F1117" s="57"/>
    </row>
    <row r="1118" spans="1:28" s="58" customFormat="1" ht="30" hidden="1" customHeight="1" outlineLevel="1" x14ac:dyDescent="0.4">
      <c r="A1118" s="54"/>
      <c r="B1118" s="48" t="s">
        <v>185</v>
      </c>
      <c r="C1118" s="49" t="s">
        <v>14</v>
      </c>
      <c r="D1118" s="65">
        <f>13.2*1.012/1000</f>
        <v>1.3358399999999999E-2</v>
      </c>
      <c r="E1118" s="51"/>
      <c r="F1118" s="57"/>
    </row>
    <row r="1119" spans="1:28" s="58" customFormat="1" ht="30" hidden="1" customHeight="1" outlineLevel="1" x14ac:dyDescent="0.4">
      <c r="A1119" s="54"/>
      <c r="B1119" s="48" t="s">
        <v>113</v>
      </c>
      <c r="C1119" s="49" t="s">
        <v>14</v>
      </c>
      <c r="D1119" s="65">
        <f>7.23*1.012/1000</f>
        <v>7.3167600000000003E-3</v>
      </c>
      <c r="E1119" s="51"/>
      <c r="F1119" s="57"/>
    </row>
    <row r="1120" spans="1:28" s="58" customFormat="1" ht="30" customHeight="1" collapsed="1" x14ac:dyDescent="0.4">
      <c r="A1120" s="24">
        <f>A1113+1</f>
        <v>473</v>
      </c>
      <c r="B1120" s="59" t="s">
        <v>126</v>
      </c>
      <c r="C1120" s="70" t="s">
        <v>58</v>
      </c>
      <c r="D1120" s="40">
        <v>4</v>
      </c>
      <c r="E1120" s="66"/>
      <c r="F1120" s="57"/>
    </row>
    <row r="1121" spans="1:28" s="58" customFormat="1" ht="30" customHeight="1" x14ac:dyDescent="0.4">
      <c r="A1121" s="24">
        <f>A1120+1</f>
        <v>474</v>
      </c>
      <c r="B1121" s="59" t="s">
        <v>123</v>
      </c>
      <c r="C1121" s="70" t="s">
        <v>67</v>
      </c>
      <c r="D1121" s="40" t="s">
        <v>620</v>
      </c>
      <c r="E1121" s="66"/>
      <c r="F1121" s="57"/>
    </row>
    <row r="1122" spans="1:28" s="58" customFormat="1" ht="30" hidden="1" customHeight="1" outlineLevel="1" x14ac:dyDescent="0.4">
      <c r="A1122" s="54"/>
      <c r="B1122" s="48" t="s">
        <v>621</v>
      </c>
      <c r="C1122" s="49" t="s">
        <v>58</v>
      </c>
      <c r="D1122" s="49">
        <v>4</v>
      </c>
      <c r="E1122" s="69"/>
      <c r="F1122" s="57"/>
    </row>
    <row r="1123" spans="1:28" ht="36" customHeight="1" collapsed="1" x14ac:dyDescent="0.35">
      <c r="A1123" s="24">
        <f>A1121+1</f>
        <v>475</v>
      </c>
      <c r="B1123" s="59" t="s">
        <v>614</v>
      </c>
      <c r="C1123" s="26" t="s">
        <v>29</v>
      </c>
      <c r="D1123" s="67">
        <f>0.612*29</f>
        <v>17.748000000000001</v>
      </c>
      <c r="E1123" s="41"/>
      <c r="F1123" s="42"/>
    </row>
    <row r="1124" spans="1:28" ht="36" customHeight="1" x14ac:dyDescent="0.35">
      <c r="A1124" s="24">
        <f>A1123+1</f>
        <v>476</v>
      </c>
      <c r="B1124" s="59" t="s">
        <v>75</v>
      </c>
      <c r="C1124" s="26" t="s">
        <v>29</v>
      </c>
      <c r="D1124" s="67">
        <f>0.612*29</f>
        <v>17.748000000000001</v>
      </c>
      <c r="E1124" s="41"/>
      <c r="F1124" s="42"/>
    </row>
    <row r="1125" spans="1:28" ht="36" customHeight="1" x14ac:dyDescent="0.35">
      <c r="A1125" s="24">
        <f>A1124+1</f>
        <v>477</v>
      </c>
      <c r="B1125" s="59" t="s">
        <v>76</v>
      </c>
      <c r="C1125" s="26" t="s">
        <v>29</v>
      </c>
      <c r="D1125" s="67">
        <f>0.612*29</f>
        <v>17.748000000000001</v>
      </c>
      <c r="E1125" s="41"/>
      <c r="F1125" s="42"/>
    </row>
    <row r="1126" spans="1:28" s="58" customFormat="1" ht="30" customHeight="1" x14ac:dyDescent="0.4">
      <c r="A1126" s="24">
        <f>A1125+1</f>
        <v>478</v>
      </c>
      <c r="B1126" s="59" t="s">
        <v>615</v>
      </c>
      <c r="C1126" s="70" t="s">
        <v>29</v>
      </c>
      <c r="D1126" s="67">
        <f>0.612*29</f>
        <v>17.748000000000001</v>
      </c>
      <c r="E1126" s="66"/>
      <c r="F1126" s="57"/>
    </row>
    <row r="1127" spans="1:28" s="58" customFormat="1" ht="30" hidden="1" customHeight="1" outlineLevel="1" x14ac:dyDescent="0.4">
      <c r="A1127" s="54"/>
      <c r="B1127" s="48" t="s">
        <v>80</v>
      </c>
      <c r="C1127" s="49" t="s">
        <v>74</v>
      </c>
      <c r="D1127" s="68">
        <f>17.7*0.36*2</f>
        <v>12.744</v>
      </c>
      <c r="E1127" s="69">
        <v>1.2999999999999999E-2</v>
      </c>
      <c r="F1127" s="57"/>
    </row>
    <row r="1128" spans="1:28" s="39" customFormat="1" ht="21" customHeight="1" collapsed="1" x14ac:dyDescent="0.35">
      <c r="A1128" s="154" t="s">
        <v>622</v>
      </c>
      <c r="B1128" s="154"/>
      <c r="C1128" s="154"/>
      <c r="D1128" s="154"/>
      <c r="E1128" s="154"/>
      <c r="F1128" s="34"/>
      <c r="G1128" s="35"/>
      <c r="H1128" s="36"/>
      <c r="I1128" s="37"/>
      <c r="J1128" s="37"/>
      <c r="K1128" s="38"/>
      <c r="L1128" s="38"/>
      <c r="M1128" s="38"/>
      <c r="N1128" s="36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</row>
    <row r="1129" spans="1:28" s="39" customFormat="1" ht="36" customHeight="1" x14ac:dyDescent="0.35">
      <c r="A1129" s="24">
        <f>A1126+1</f>
        <v>479</v>
      </c>
      <c r="B1129" s="25" t="s">
        <v>136</v>
      </c>
      <c r="C1129" s="26" t="s">
        <v>19</v>
      </c>
      <c r="D1129" s="40">
        <v>0.4</v>
      </c>
      <c r="E1129" s="64"/>
      <c r="F1129" s="34"/>
      <c r="G1129" s="35"/>
      <c r="H1129" s="36"/>
      <c r="I1129" s="37"/>
      <c r="J1129" s="37"/>
      <c r="K1129" s="38"/>
      <c r="L1129" s="38"/>
      <c r="M1129" s="38"/>
      <c r="N1129" s="36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</row>
    <row r="1130" spans="1:28" ht="34.5" hidden="1" customHeight="1" outlineLevel="1" x14ac:dyDescent="0.35">
      <c r="A1130" s="47"/>
      <c r="B1130" s="48" t="s">
        <v>134</v>
      </c>
      <c r="C1130" s="75" t="s">
        <v>19</v>
      </c>
      <c r="D1130" s="75">
        <v>0.4</v>
      </c>
      <c r="E1130" s="76"/>
      <c r="F1130" s="42"/>
    </row>
    <row r="1131" spans="1:28" ht="33" customHeight="1" collapsed="1" x14ac:dyDescent="0.35">
      <c r="A1131" s="24">
        <f>A1129+1</f>
        <v>480</v>
      </c>
      <c r="B1131" s="25" t="s">
        <v>64</v>
      </c>
      <c r="C1131" s="26" t="s">
        <v>19</v>
      </c>
      <c r="D1131" s="67">
        <f>0.59*4</f>
        <v>2.36</v>
      </c>
      <c r="E1131" s="41"/>
      <c r="F1131" s="53"/>
    </row>
    <row r="1132" spans="1:28" s="58" customFormat="1" ht="30" hidden="1" customHeight="1" outlineLevel="1" x14ac:dyDescent="0.4">
      <c r="A1132" s="54"/>
      <c r="B1132" s="48" t="s">
        <v>65</v>
      </c>
      <c r="C1132" s="49" t="s">
        <v>19</v>
      </c>
      <c r="D1132" s="75">
        <v>2.4</v>
      </c>
      <c r="E1132" s="51"/>
      <c r="F1132" s="57"/>
    </row>
    <row r="1133" spans="1:28" s="39" customFormat="1" ht="36" customHeight="1" collapsed="1" x14ac:dyDescent="0.35">
      <c r="A1133" s="24">
        <f>A1131+1</f>
        <v>481</v>
      </c>
      <c r="B1133" s="25" t="s">
        <v>66</v>
      </c>
      <c r="C1133" s="26" t="s">
        <v>67</v>
      </c>
      <c r="D1133" s="40" t="s">
        <v>623</v>
      </c>
      <c r="E1133" s="64"/>
      <c r="F1133" s="34"/>
      <c r="G1133" s="35"/>
      <c r="H1133" s="36"/>
      <c r="I1133" s="37"/>
      <c r="J1133" s="37"/>
      <c r="K1133" s="38"/>
      <c r="L1133" s="38"/>
      <c r="M1133" s="38"/>
      <c r="N1133" s="36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</row>
    <row r="1134" spans="1:28" s="58" customFormat="1" ht="30" hidden="1" customHeight="1" outlineLevel="1" x14ac:dyDescent="0.4">
      <c r="A1134" s="54"/>
      <c r="B1134" s="48" t="s">
        <v>624</v>
      </c>
      <c r="C1134" s="49" t="s">
        <v>14</v>
      </c>
      <c r="D1134" s="65">
        <f>96.32*4*1.012/1000</f>
        <v>0.38990335999999998</v>
      </c>
      <c r="E1134" s="51"/>
      <c r="F1134" s="57"/>
    </row>
    <row r="1135" spans="1:28" s="58" customFormat="1" ht="30" hidden="1" customHeight="1" outlineLevel="1" x14ac:dyDescent="0.4">
      <c r="A1135" s="54"/>
      <c r="B1135" s="48" t="s">
        <v>185</v>
      </c>
      <c r="C1135" s="49" t="s">
        <v>14</v>
      </c>
      <c r="D1135" s="65">
        <f>2.51*4*1.012/1000</f>
        <v>1.016048E-2</v>
      </c>
      <c r="E1135" s="51"/>
      <c r="F1135" s="57"/>
    </row>
    <row r="1136" spans="1:28" s="58" customFormat="1" ht="30" customHeight="1" collapsed="1" x14ac:dyDescent="0.4">
      <c r="A1136" s="24">
        <f>A1133+1</f>
        <v>482</v>
      </c>
      <c r="B1136" s="59" t="s">
        <v>71</v>
      </c>
      <c r="C1136" s="26" t="s">
        <v>67</v>
      </c>
      <c r="D1136" s="40" t="s">
        <v>623</v>
      </c>
      <c r="E1136" s="66"/>
      <c r="F1136" s="57"/>
    </row>
    <row r="1137" spans="1:28" ht="36" customHeight="1" x14ac:dyDescent="0.35">
      <c r="A1137" s="24">
        <f>A1136+1</f>
        <v>483</v>
      </c>
      <c r="B1137" s="59" t="s">
        <v>614</v>
      </c>
      <c r="C1137" s="26" t="s">
        <v>29</v>
      </c>
      <c r="D1137" s="67">
        <f>((0.159*3.58*3.14)+(0.2*0.2*2))*4</f>
        <v>7.4694032000000012</v>
      </c>
      <c r="E1137" s="41"/>
      <c r="F1137" s="42"/>
    </row>
    <row r="1138" spans="1:28" ht="36" customHeight="1" x14ac:dyDescent="0.35">
      <c r="A1138" s="24">
        <f>A1137+1</f>
        <v>484</v>
      </c>
      <c r="B1138" s="59" t="s">
        <v>75</v>
      </c>
      <c r="C1138" s="26" t="s">
        <v>29</v>
      </c>
      <c r="D1138" s="67">
        <v>7.5</v>
      </c>
      <c r="E1138" s="41"/>
      <c r="F1138" s="42"/>
    </row>
    <row r="1139" spans="1:28" ht="36" customHeight="1" x14ac:dyDescent="0.35">
      <c r="A1139" s="24">
        <f>A1138+1</f>
        <v>485</v>
      </c>
      <c r="B1139" s="59" t="s">
        <v>76</v>
      </c>
      <c r="C1139" s="26" t="s">
        <v>29</v>
      </c>
      <c r="D1139" s="67">
        <v>7.5</v>
      </c>
      <c r="E1139" s="41"/>
      <c r="F1139" s="42"/>
    </row>
    <row r="1140" spans="1:28" s="58" customFormat="1" ht="30" customHeight="1" x14ac:dyDescent="0.4">
      <c r="A1140" s="24">
        <f>A1139+1</f>
        <v>486</v>
      </c>
      <c r="B1140" s="59" t="s">
        <v>615</v>
      </c>
      <c r="C1140" s="70" t="s">
        <v>29</v>
      </c>
      <c r="D1140" s="40">
        <v>7.5</v>
      </c>
      <c r="E1140" s="66"/>
      <c r="F1140" s="57"/>
    </row>
    <row r="1141" spans="1:28" s="58" customFormat="1" ht="30" hidden="1" customHeight="1" outlineLevel="1" x14ac:dyDescent="0.4">
      <c r="A1141" s="54"/>
      <c r="B1141" s="48" t="s">
        <v>80</v>
      </c>
      <c r="C1141" s="49" t="s">
        <v>74</v>
      </c>
      <c r="D1141" s="68">
        <f>7.5*0.36*2</f>
        <v>5.3999999999999995</v>
      </c>
      <c r="E1141" s="69">
        <v>5.0000000000000001E-3</v>
      </c>
      <c r="F1141" s="57"/>
    </row>
    <row r="1142" spans="1:28" s="39" customFormat="1" ht="21" customHeight="1" collapsed="1" x14ac:dyDescent="0.35">
      <c r="A1142" s="154" t="s">
        <v>625</v>
      </c>
      <c r="B1142" s="154"/>
      <c r="C1142" s="154"/>
      <c r="D1142" s="154"/>
      <c r="E1142" s="154"/>
      <c r="F1142" s="34"/>
      <c r="G1142" s="35"/>
      <c r="H1142" s="36"/>
      <c r="I1142" s="37"/>
      <c r="J1142" s="37"/>
      <c r="K1142" s="38"/>
      <c r="L1142" s="38"/>
      <c r="M1142" s="38"/>
      <c r="N1142" s="36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</row>
    <row r="1143" spans="1:28" s="58" customFormat="1" ht="30" customHeight="1" x14ac:dyDescent="0.4">
      <c r="A1143" s="24">
        <f>A1140+1</f>
        <v>487</v>
      </c>
      <c r="B1143" s="59" t="s">
        <v>626</v>
      </c>
      <c r="C1143" s="70" t="s">
        <v>14</v>
      </c>
      <c r="D1143" s="27">
        <f>0.332/1.1</f>
        <v>0.30181818181818182</v>
      </c>
      <c r="E1143" s="66"/>
      <c r="F1143" s="57"/>
    </row>
    <row r="1144" spans="1:28" s="58" customFormat="1" ht="30" hidden="1" customHeight="1" outlineLevel="1" x14ac:dyDescent="0.4">
      <c r="A1144" s="54"/>
      <c r="B1144" s="48" t="s">
        <v>114</v>
      </c>
      <c r="C1144" s="49" t="s">
        <v>14</v>
      </c>
      <c r="D1144" s="65">
        <f>(50.9+41.5+69.75)*1.012/1000</f>
        <v>0.16409579999999999</v>
      </c>
      <c r="E1144" s="51"/>
      <c r="F1144" s="57"/>
    </row>
    <row r="1145" spans="1:28" s="58" customFormat="1" ht="30" hidden="1" customHeight="1" outlineLevel="1" x14ac:dyDescent="0.4">
      <c r="A1145" s="54"/>
      <c r="B1145" s="48" t="s">
        <v>183</v>
      </c>
      <c r="C1145" s="49" t="s">
        <v>14</v>
      </c>
      <c r="D1145" s="65">
        <f>(46.47)*1.012/1000</f>
        <v>4.7027639999999996E-2</v>
      </c>
      <c r="E1145" s="51"/>
      <c r="F1145" s="57"/>
    </row>
    <row r="1146" spans="1:28" s="58" customFormat="1" ht="30" hidden="1" customHeight="1" outlineLevel="1" x14ac:dyDescent="0.4">
      <c r="A1146" s="54"/>
      <c r="B1146" s="48" t="s">
        <v>184</v>
      </c>
      <c r="C1146" s="49" t="s">
        <v>14</v>
      </c>
      <c r="D1146" s="65">
        <f>87.14*1.012/1000</f>
        <v>8.8185680000000002E-2</v>
      </c>
      <c r="E1146" s="51"/>
      <c r="F1146" s="57"/>
    </row>
    <row r="1147" spans="1:28" s="58" customFormat="1" ht="30" hidden="1" customHeight="1" outlineLevel="1" x14ac:dyDescent="0.4">
      <c r="A1147" s="54"/>
      <c r="B1147" s="48" t="s">
        <v>185</v>
      </c>
      <c r="C1147" s="49" t="s">
        <v>14</v>
      </c>
      <c r="D1147" s="65">
        <f>6*1.07*1.012/1000</f>
        <v>6.4970399999999999E-3</v>
      </c>
      <c r="E1147" s="51"/>
      <c r="F1147" s="57"/>
    </row>
    <row r="1148" spans="1:28" ht="36" customHeight="1" collapsed="1" x14ac:dyDescent="0.35">
      <c r="A1148" s="24">
        <f>A1143+1</f>
        <v>488</v>
      </c>
      <c r="B1148" s="59" t="s">
        <v>614</v>
      </c>
      <c r="C1148" s="26" t="s">
        <v>29</v>
      </c>
      <c r="D1148" s="67">
        <f>((0.1*13.5)+(0.1*11)+(0.1*18.5)+(0.08*37)+(0.15*18.5))*2</f>
        <v>20.07</v>
      </c>
      <c r="E1148" s="41"/>
      <c r="F1148" s="42"/>
    </row>
    <row r="1149" spans="1:28" ht="36" customHeight="1" x14ac:dyDescent="0.35">
      <c r="A1149" s="24">
        <f>A1148+1</f>
        <v>489</v>
      </c>
      <c r="B1149" s="59" t="s">
        <v>75</v>
      </c>
      <c r="C1149" s="26" t="s">
        <v>29</v>
      </c>
      <c r="D1149" s="67">
        <f>((0.1*13.5)+(0.1*11)+(0.1*18.5)+(0.08*37)+(0.15*18.5))*2</f>
        <v>20.07</v>
      </c>
      <c r="E1149" s="41"/>
      <c r="F1149" s="42"/>
    </row>
    <row r="1150" spans="1:28" ht="36" customHeight="1" x14ac:dyDescent="0.35">
      <c r="A1150" s="24">
        <f>A1149+1</f>
        <v>490</v>
      </c>
      <c r="B1150" s="59" t="s">
        <v>76</v>
      </c>
      <c r="C1150" s="26" t="s">
        <v>29</v>
      </c>
      <c r="D1150" s="67">
        <f>((0.1*13.5)+(0.1*11)+(0.1*18.5)+(0.08*37)+(0.15*18.5))*2</f>
        <v>20.07</v>
      </c>
      <c r="E1150" s="41"/>
      <c r="F1150" s="42"/>
    </row>
    <row r="1151" spans="1:28" s="58" customFormat="1" ht="30" customHeight="1" x14ac:dyDescent="0.4">
      <c r="A1151" s="24">
        <f>A1150+1</f>
        <v>491</v>
      </c>
      <c r="B1151" s="59" t="s">
        <v>615</v>
      </c>
      <c r="C1151" s="70" t="s">
        <v>29</v>
      </c>
      <c r="D1151" s="67">
        <f>((0.1*13.5)+(0.1*11)+(0.1*18.5)+(0.08*37)+(0.15*18.5))*2</f>
        <v>20.07</v>
      </c>
      <c r="E1151" s="66"/>
      <c r="F1151" s="57"/>
    </row>
    <row r="1152" spans="1:28" s="58" customFormat="1" ht="30" hidden="1" customHeight="1" outlineLevel="1" x14ac:dyDescent="0.4">
      <c r="A1152" s="54"/>
      <c r="B1152" s="48" t="s">
        <v>80</v>
      </c>
      <c r="C1152" s="49" t="s">
        <v>74</v>
      </c>
      <c r="D1152" s="68">
        <f>20.1*0.36*2</f>
        <v>14.472000000000001</v>
      </c>
      <c r="E1152" s="69">
        <v>1.4999999999999999E-2</v>
      </c>
      <c r="F1152" s="57"/>
    </row>
    <row r="1153" spans="1:28" s="39" customFormat="1" ht="21" customHeight="1" collapsed="1" x14ac:dyDescent="0.35">
      <c r="A1153" s="154" t="s">
        <v>627</v>
      </c>
      <c r="B1153" s="154"/>
      <c r="C1153" s="154"/>
      <c r="D1153" s="154"/>
      <c r="E1153" s="154"/>
      <c r="F1153" s="34"/>
      <c r="G1153" s="35"/>
      <c r="H1153" s="36"/>
      <c r="I1153" s="37"/>
      <c r="J1153" s="37"/>
      <c r="K1153" s="38"/>
      <c r="L1153" s="38"/>
      <c r="M1153" s="38"/>
      <c r="N1153" s="36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</row>
    <row r="1154" spans="1:28" s="39" customFormat="1" ht="36" customHeight="1" x14ac:dyDescent="0.35">
      <c r="A1154" s="24">
        <f>A1151+1</f>
        <v>492</v>
      </c>
      <c r="B1154" s="25" t="s">
        <v>136</v>
      </c>
      <c r="C1154" s="26" t="s">
        <v>19</v>
      </c>
      <c r="D1154" s="40">
        <v>0.09</v>
      </c>
      <c r="E1154" s="64"/>
      <c r="F1154" s="34"/>
      <c r="G1154" s="35"/>
      <c r="H1154" s="36"/>
      <c r="I1154" s="37"/>
      <c r="J1154" s="37"/>
      <c r="K1154" s="38"/>
      <c r="L1154" s="38"/>
      <c r="M1154" s="38"/>
      <c r="N1154" s="36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</row>
    <row r="1155" spans="1:28" ht="34.5" hidden="1" customHeight="1" outlineLevel="1" x14ac:dyDescent="0.35">
      <c r="A1155" s="47"/>
      <c r="B1155" s="48" t="s">
        <v>134</v>
      </c>
      <c r="C1155" s="75" t="s">
        <v>19</v>
      </c>
      <c r="D1155" s="75">
        <v>0.09</v>
      </c>
      <c r="E1155" s="76"/>
      <c r="F1155" s="42"/>
    </row>
    <row r="1156" spans="1:28" ht="33" customHeight="1" collapsed="1" x14ac:dyDescent="0.35">
      <c r="A1156" s="24">
        <f>A1154+1</f>
        <v>493</v>
      </c>
      <c r="B1156" s="25" t="s">
        <v>64</v>
      </c>
      <c r="C1156" s="26" t="s">
        <v>19</v>
      </c>
      <c r="D1156" s="40">
        <v>0.24</v>
      </c>
      <c r="E1156" s="41"/>
      <c r="F1156" s="53"/>
    </row>
    <row r="1157" spans="1:28" s="58" customFormat="1" ht="30" hidden="1" customHeight="1" outlineLevel="1" x14ac:dyDescent="0.4">
      <c r="A1157" s="54"/>
      <c r="B1157" s="48" t="s">
        <v>65</v>
      </c>
      <c r="C1157" s="49" t="s">
        <v>19</v>
      </c>
      <c r="D1157" s="75">
        <v>0.24</v>
      </c>
      <c r="E1157" s="51"/>
      <c r="F1157" s="57"/>
    </row>
    <row r="1158" spans="1:28" s="58" customFormat="1" ht="30" customHeight="1" collapsed="1" x14ac:dyDescent="0.4">
      <c r="A1158" s="24">
        <f>A1156+1</f>
        <v>494</v>
      </c>
      <c r="B1158" s="25" t="s">
        <v>628</v>
      </c>
      <c r="C1158" s="70" t="s">
        <v>19</v>
      </c>
      <c r="D1158" s="40">
        <v>0.26</v>
      </c>
      <c r="E1158" s="66"/>
      <c r="F1158" s="57"/>
    </row>
    <row r="1159" spans="1:28" s="58" customFormat="1" ht="30" hidden="1" customHeight="1" outlineLevel="1" x14ac:dyDescent="0.4">
      <c r="A1159" s="54"/>
      <c r="B1159" s="48" t="s">
        <v>52</v>
      </c>
      <c r="C1159" s="49" t="s">
        <v>19</v>
      </c>
      <c r="D1159" s="81">
        <f>0.26</f>
        <v>0.26</v>
      </c>
      <c r="E1159" s="69"/>
      <c r="F1159" s="57"/>
    </row>
    <row r="1160" spans="1:28" s="39" customFormat="1" ht="21" customHeight="1" collapsed="1" x14ac:dyDescent="0.35">
      <c r="A1160" s="158" t="s">
        <v>629</v>
      </c>
      <c r="B1160" s="158"/>
      <c r="C1160" s="158"/>
      <c r="D1160" s="158"/>
      <c r="E1160" s="158"/>
      <c r="F1160" s="34"/>
      <c r="G1160" s="35"/>
      <c r="H1160" s="36"/>
      <c r="I1160" s="37"/>
      <c r="J1160" s="37"/>
      <c r="K1160" s="38"/>
      <c r="L1160" s="38"/>
      <c r="M1160" s="38"/>
      <c r="N1160" s="36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</row>
    <row r="1161" spans="1:28" s="39" customFormat="1" ht="21" customHeight="1" x14ac:dyDescent="0.35">
      <c r="A1161" s="154" t="s">
        <v>630</v>
      </c>
      <c r="B1161" s="154"/>
      <c r="C1161" s="154"/>
      <c r="D1161" s="154"/>
      <c r="E1161" s="154"/>
      <c r="F1161" s="34"/>
      <c r="G1161" s="35"/>
      <c r="H1161" s="36"/>
      <c r="I1161" s="37"/>
      <c r="J1161" s="37"/>
      <c r="K1161" s="38"/>
      <c r="L1161" s="38"/>
      <c r="M1161" s="38"/>
      <c r="N1161" s="36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</row>
    <row r="1162" spans="1:28" s="58" customFormat="1" ht="30" customHeight="1" x14ac:dyDescent="0.4">
      <c r="A1162" s="24">
        <f>A1158+1</f>
        <v>495</v>
      </c>
      <c r="B1162" s="25" t="s">
        <v>136</v>
      </c>
      <c r="C1162" s="26" t="s">
        <v>19</v>
      </c>
      <c r="D1162" s="40">
        <v>9</v>
      </c>
      <c r="E1162" s="66"/>
      <c r="F1162" s="57"/>
    </row>
    <row r="1163" spans="1:28" s="58" customFormat="1" ht="30" hidden="1" customHeight="1" outlineLevel="1" x14ac:dyDescent="0.4">
      <c r="A1163" s="54"/>
      <c r="B1163" s="48" t="s">
        <v>134</v>
      </c>
      <c r="C1163" s="75" t="s">
        <v>19</v>
      </c>
      <c r="D1163" s="75">
        <v>9</v>
      </c>
      <c r="E1163" s="69"/>
      <c r="F1163" s="57"/>
    </row>
    <row r="1164" spans="1:28" ht="30" customHeight="1" collapsed="1" x14ac:dyDescent="0.35">
      <c r="A1164" s="24">
        <f>A1162+1</f>
        <v>496</v>
      </c>
      <c r="B1164" s="25" t="s">
        <v>389</v>
      </c>
      <c r="C1164" s="26" t="s">
        <v>19</v>
      </c>
      <c r="D1164" s="80">
        <v>22.5</v>
      </c>
      <c r="E1164" s="41"/>
      <c r="F1164" s="42"/>
    </row>
    <row r="1165" spans="1:28" ht="31" hidden="1" customHeight="1" outlineLevel="1" x14ac:dyDescent="0.35">
      <c r="A1165" s="47"/>
      <c r="B1165" s="48" t="s">
        <v>137</v>
      </c>
      <c r="C1165" s="49" t="s">
        <v>14</v>
      </c>
      <c r="D1165" s="65">
        <f>((158*5.4*0.888)+(54*14.6*0.888))/1000</f>
        <v>1.4577408000000001</v>
      </c>
      <c r="E1165" s="56"/>
      <c r="F1165" s="42"/>
    </row>
    <row r="1166" spans="1:28" ht="31" hidden="1" customHeight="1" outlineLevel="1" x14ac:dyDescent="0.35">
      <c r="A1166" s="74"/>
      <c r="B1166" s="48" t="s">
        <v>65</v>
      </c>
      <c r="C1166" s="49" t="s">
        <v>19</v>
      </c>
      <c r="D1166" s="68">
        <v>22.5</v>
      </c>
      <c r="E1166" s="69"/>
      <c r="F1166" s="42"/>
    </row>
    <row r="1167" spans="1:28" s="39" customFormat="1" ht="21" customHeight="1" collapsed="1" x14ac:dyDescent="0.35">
      <c r="A1167" s="158" t="s">
        <v>631</v>
      </c>
      <c r="B1167" s="158"/>
      <c r="C1167" s="158"/>
      <c r="D1167" s="158"/>
      <c r="E1167" s="158"/>
      <c r="F1167" s="34"/>
      <c r="G1167" s="35"/>
      <c r="H1167" s="36"/>
      <c r="I1167" s="37"/>
      <c r="J1167" s="37"/>
      <c r="K1167" s="38"/>
      <c r="L1167" s="38"/>
      <c r="M1167" s="38"/>
      <c r="N1167" s="36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</row>
    <row r="1168" spans="1:28" ht="36" customHeight="1" x14ac:dyDescent="0.35">
      <c r="A1168" s="24">
        <f>A1164+1</f>
        <v>497</v>
      </c>
      <c r="B1168" s="59" t="s">
        <v>632</v>
      </c>
      <c r="C1168" s="26" t="s">
        <v>58</v>
      </c>
      <c r="D1168" s="82">
        <v>1</v>
      </c>
      <c r="E1168" s="41"/>
      <c r="F1168" s="42"/>
    </row>
    <row r="1169" spans="1:28" s="58" customFormat="1" ht="30" hidden="1" customHeight="1" outlineLevel="1" x14ac:dyDescent="0.4">
      <c r="A1169" s="54"/>
      <c r="B1169" s="48" t="s">
        <v>633</v>
      </c>
      <c r="C1169" s="49" t="s">
        <v>58</v>
      </c>
      <c r="D1169" s="55">
        <v>1</v>
      </c>
      <c r="E1169" s="69">
        <v>0.85</v>
      </c>
      <c r="F1169" s="57"/>
    </row>
    <row r="1170" spans="1:28" s="58" customFormat="1" ht="30" customHeight="1" collapsed="1" x14ac:dyDescent="0.4">
      <c r="A1170" s="24">
        <f>A1168+1</f>
        <v>498</v>
      </c>
      <c r="B1170" s="59" t="s">
        <v>501</v>
      </c>
      <c r="C1170" s="70" t="s">
        <v>58</v>
      </c>
      <c r="D1170" s="40">
        <v>1</v>
      </c>
      <c r="E1170" s="66"/>
      <c r="F1170" s="57"/>
    </row>
    <row r="1171" spans="1:28" s="58" customFormat="1" ht="30.9" hidden="1" outlineLevel="1" x14ac:dyDescent="0.4">
      <c r="A1171" s="54"/>
      <c r="B1171" s="48" t="s">
        <v>634</v>
      </c>
      <c r="C1171" s="49" t="s">
        <v>58</v>
      </c>
      <c r="D1171" s="55">
        <v>1</v>
      </c>
      <c r="E1171" s="51">
        <v>0.154</v>
      </c>
      <c r="F1171" s="57"/>
    </row>
    <row r="1172" spans="1:28" s="39" customFormat="1" ht="36" customHeight="1" collapsed="1" x14ac:dyDescent="0.35">
      <c r="A1172" s="24">
        <f>A1170+1</f>
        <v>499</v>
      </c>
      <c r="B1172" s="59" t="s">
        <v>501</v>
      </c>
      <c r="C1172" s="26" t="s">
        <v>58</v>
      </c>
      <c r="D1172" s="40">
        <v>4</v>
      </c>
      <c r="E1172" s="64"/>
      <c r="F1172" s="34"/>
      <c r="G1172" s="35"/>
      <c r="H1172" s="36"/>
      <c r="I1172" s="37"/>
      <c r="J1172" s="37"/>
      <c r="K1172" s="38"/>
      <c r="L1172" s="38"/>
      <c r="M1172" s="38"/>
      <c r="N1172" s="36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</row>
    <row r="1173" spans="1:28" ht="31" hidden="1" customHeight="1" outlineLevel="1" x14ac:dyDescent="0.35">
      <c r="A1173" s="47"/>
      <c r="B1173" s="48" t="s">
        <v>635</v>
      </c>
      <c r="C1173" s="49" t="s">
        <v>58</v>
      </c>
      <c r="D1173" s="75">
        <v>1</v>
      </c>
      <c r="E1173" s="51">
        <v>2.8000000000000001E-2</v>
      </c>
      <c r="F1173" s="42"/>
    </row>
    <row r="1174" spans="1:28" s="58" customFormat="1" ht="30" hidden="1" customHeight="1" outlineLevel="1" x14ac:dyDescent="0.4">
      <c r="A1174" s="54"/>
      <c r="B1174" s="48" t="s">
        <v>636</v>
      </c>
      <c r="C1174" s="49" t="s">
        <v>58</v>
      </c>
      <c r="D1174" s="75">
        <v>3</v>
      </c>
      <c r="E1174" s="78">
        <v>0.03</v>
      </c>
      <c r="F1174" s="57"/>
    </row>
    <row r="1175" spans="1:28" s="39" customFormat="1" ht="36" customHeight="1" collapsed="1" x14ac:dyDescent="0.35">
      <c r="A1175" s="24">
        <f>A1172+1</f>
        <v>500</v>
      </c>
      <c r="B1175" s="59" t="s">
        <v>637</v>
      </c>
      <c r="C1175" s="26" t="s">
        <v>58</v>
      </c>
      <c r="D1175" s="40">
        <v>1</v>
      </c>
      <c r="E1175" s="64"/>
      <c r="F1175" s="34"/>
      <c r="G1175" s="35"/>
      <c r="H1175" s="36"/>
      <c r="I1175" s="37"/>
      <c r="J1175" s="37"/>
      <c r="K1175" s="38"/>
      <c r="L1175" s="38"/>
      <c r="M1175" s="38"/>
      <c r="N1175" s="36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</row>
    <row r="1176" spans="1:28" ht="34.5" hidden="1" customHeight="1" outlineLevel="1" x14ac:dyDescent="0.35">
      <c r="A1176" s="47"/>
      <c r="B1176" s="48" t="s">
        <v>638</v>
      </c>
      <c r="C1176" s="49" t="s">
        <v>58</v>
      </c>
      <c r="D1176" s="75">
        <v>1</v>
      </c>
      <c r="E1176" s="78">
        <v>0.03</v>
      </c>
      <c r="F1176" s="42"/>
    </row>
    <row r="1177" spans="1:28" s="39" customFormat="1" ht="36" customHeight="1" collapsed="1" x14ac:dyDescent="0.35">
      <c r="A1177" s="24">
        <f>A1175+1</f>
        <v>501</v>
      </c>
      <c r="B1177" s="59" t="s">
        <v>506</v>
      </c>
      <c r="C1177" s="26" t="s">
        <v>58</v>
      </c>
      <c r="D1177" s="40">
        <v>8</v>
      </c>
      <c r="E1177" s="64"/>
      <c r="F1177" s="34"/>
      <c r="G1177" s="35"/>
      <c r="H1177" s="36"/>
      <c r="I1177" s="37"/>
      <c r="J1177" s="37"/>
      <c r="K1177" s="38"/>
      <c r="L1177" s="38"/>
      <c r="M1177" s="38"/>
      <c r="N1177" s="36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</row>
    <row r="1178" spans="1:28" ht="31" hidden="1" customHeight="1" outlineLevel="1" x14ac:dyDescent="0.35">
      <c r="A1178" s="47"/>
      <c r="B1178" s="48" t="s">
        <v>639</v>
      </c>
      <c r="C1178" s="49" t="s">
        <v>58</v>
      </c>
      <c r="D1178" s="75">
        <v>8</v>
      </c>
      <c r="E1178" s="51">
        <v>0.47199999999999998</v>
      </c>
      <c r="F1178" s="42"/>
    </row>
    <row r="1179" spans="1:28" s="58" customFormat="1" ht="30.9" collapsed="1" x14ac:dyDescent="0.4">
      <c r="A1179" s="24">
        <f>A1177+1</f>
        <v>502</v>
      </c>
      <c r="B1179" s="59" t="s">
        <v>201</v>
      </c>
      <c r="C1179" s="70" t="s">
        <v>132</v>
      </c>
      <c r="D1179" s="40">
        <v>15.3</v>
      </c>
      <c r="E1179" s="79" t="s">
        <v>151</v>
      </c>
      <c r="F1179" s="57"/>
    </row>
    <row r="1180" spans="1:28" s="58" customFormat="1" ht="30.9" hidden="1" outlineLevel="1" x14ac:dyDescent="0.4">
      <c r="A1180" s="54"/>
      <c r="B1180" s="48" t="s">
        <v>640</v>
      </c>
      <c r="C1180" s="49" t="s">
        <v>14</v>
      </c>
      <c r="D1180" s="65">
        <f>15.3*5.23*1.1/1000</f>
        <v>8.8020900000000013E-2</v>
      </c>
      <c r="E1180" s="51"/>
      <c r="F1180" s="57"/>
    </row>
    <row r="1181" spans="1:28" s="58" customFormat="1" ht="30" hidden="1" customHeight="1" outlineLevel="1" x14ac:dyDescent="0.4">
      <c r="A1181" s="54"/>
      <c r="B1181" s="48" t="s">
        <v>641</v>
      </c>
      <c r="C1181" s="49" t="s">
        <v>58</v>
      </c>
      <c r="D1181" s="55">
        <v>1</v>
      </c>
      <c r="E1181" s="51">
        <v>1E-3</v>
      </c>
      <c r="F1181" s="57"/>
    </row>
    <row r="1182" spans="1:28" s="58" customFormat="1" ht="30" hidden="1" customHeight="1" outlineLevel="1" x14ac:dyDescent="0.4">
      <c r="A1182" s="54"/>
      <c r="B1182" s="48" t="s">
        <v>525</v>
      </c>
      <c r="C1182" s="49" t="s">
        <v>58</v>
      </c>
      <c r="D1182" s="55">
        <v>7</v>
      </c>
      <c r="E1182" s="51">
        <v>5.0000000000000001E-3</v>
      </c>
      <c r="F1182" s="57"/>
    </row>
    <row r="1183" spans="1:28" s="58" customFormat="1" ht="30" hidden="1" customHeight="1" outlineLevel="1" x14ac:dyDescent="0.4">
      <c r="A1183" s="54"/>
      <c r="B1183" s="48" t="s">
        <v>642</v>
      </c>
      <c r="C1183" s="49" t="s">
        <v>58</v>
      </c>
      <c r="D1183" s="55">
        <v>3</v>
      </c>
      <c r="E1183" s="51">
        <v>2E-3</v>
      </c>
      <c r="F1183" s="57"/>
    </row>
    <row r="1184" spans="1:28" s="58" customFormat="1" ht="30" hidden="1" customHeight="1" outlineLevel="1" x14ac:dyDescent="0.4">
      <c r="A1184" s="54"/>
      <c r="B1184" s="48" t="s">
        <v>643</v>
      </c>
      <c r="C1184" s="49" t="s">
        <v>58</v>
      </c>
      <c r="D1184" s="55">
        <v>2</v>
      </c>
      <c r="E1184" s="51">
        <v>3.0000000000000001E-3</v>
      </c>
      <c r="F1184" s="57"/>
    </row>
    <row r="1185" spans="1:6" s="58" customFormat="1" ht="30.9" collapsed="1" x14ac:dyDescent="0.4">
      <c r="A1185" s="24">
        <f>A1179+1</f>
        <v>503</v>
      </c>
      <c r="B1185" s="59" t="s">
        <v>150</v>
      </c>
      <c r="C1185" s="70" t="s">
        <v>132</v>
      </c>
      <c r="D1185" s="40">
        <v>9.1999999999999993</v>
      </c>
      <c r="E1185" s="79" t="s">
        <v>151</v>
      </c>
      <c r="F1185" s="57"/>
    </row>
    <row r="1186" spans="1:6" s="58" customFormat="1" ht="30.9" hidden="1" outlineLevel="1" x14ac:dyDescent="0.4">
      <c r="A1186" s="54"/>
      <c r="B1186" s="48" t="s">
        <v>644</v>
      </c>
      <c r="C1186" s="49" t="s">
        <v>14</v>
      </c>
      <c r="D1186" s="65">
        <f>9.2*12.28*1.1/1000</f>
        <v>0.12427359999999998</v>
      </c>
      <c r="E1186" s="51"/>
      <c r="F1186" s="57"/>
    </row>
    <row r="1187" spans="1:6" s="58" customFormat="1" ht="30" hidden="1" customHeight="1" outlineLevel="1" x14ac:dyDescent="0.4">
      <c r="A1187" s="54"/>
      <c r="B1187" s="48" t="s">
        <v>530</v>
      </c>
      <c r="C1187" s="49" t="s">
        <v>58</v>
      </c>
      <c r="D1187" s="55">
        <v>2</v>
      </c>
      <c r="E1187" s="51">
        <v>5.0000000000000001E-3</v>
      </c>
      <c r="F1187" s="57"/>
    </row>
    <row r="1188" spans="1:6" s="58" customFormat="1" ht="30.9" collapsed="1" x14ac:dyDescent="0.4">
      <c r="A1188" s="24">
        <f>A1185+1</f>
        <v>504</v>
      </c>
      <c r="B1188" s="59" t="s">
        <v>155</v>
      </c>
      <c r="C1188" s="70" t="s">
        <v>132</v>
      </c>
      <c r="D1188" s="40">
        <v>34</v>
      </c>
      <c r="E1188" s="79" t="s">
        <v>151</v>
      </c>
      <c r="F1188" s="57"/>
    </row>
    <row r="1189" spans="1:6" s="58" customFormat="1" ht="30.9" hidden="1" outlineLevel="1" x14ac:dyDescent="0.4">
      <c r="A1189" s="54"/>
      <c r="B1189" s="48" t="s">
        <v>645</v>
      </c>
      <c r="C1189" s="49" t="s">
        <v>14</v>
      </c>
      <c r="D1189" s="65">
        <f>34*15.98*1.1/1000</f>
        <v>0.59765200000000018</v>
      </c>
      <c r="E1189" s="51"/>
      <c r="F1189" s="57"/>
    </row>
    <row r="1190" spans="1:6" s="58" customFormat="1" ht="30" hidden="1" customHeight="1" outlineLevel="1" x14ac:dyDescent="0.4">
      <c r="A1190" s="54"/>
      <c r="B1190" s="48" t="s">
        <v>535</v>
      </c>
      <c r="C1190" s="49" t="s">
        <v>58</v>
      </c>
      <c r="D1190" s="55">
        <v>8</v>
      </c>
      <c r="E1190" s="51">
        <v>0.03</v>
      </c>
      <c r="F1190" s="57"/>
    </row>
    <row r="1191" spans="1:6" s="58" customFormat="1" ht="30" hidden="1" customHeight="1" outlineLevel="1" x14ac:dyDescent="0.4">
      <c r="A1191" s="54"/>
      <c r="B1191" s="48" t="s">
        <v>646</v>
      </c>
      <c r="C1191" s="49" t="s">
        <v>58</v>
      </c>
      <c r="D1191" s="55">
        <v>8</v>
      </c>
      <c r="E1191" s="51">
        <v>3.5000000000000003E-2</v>
      </c>
      <c r="F1191" s="57"/>
    </row>
    <row r="1192" spans="1:6" s="58" customFormat="1" ht="30" hidden="1" customHeight="1" outlineLevel="1" x14ac:dyDescent="0.4">
      <c r="A1192" s="54"/>
      <c r="B1192" s="48" t="s">
        <v>647</v>
      </c>
      <c r="C1192" s="49" t="s">
        <v>58</v>
      </c>
      <c r="D1192" s="55">
        <v>2</v>
      </c>
      <c r="E1192" s="51">
        <v>8.0000000000000002E-3</v>
      </c>
      <c r="F1192" s="57"/>
    </row>
    <row r="1193" spans="1:6" s="58" customFormat="1" ht="30.9" collapsed="1" x14ac:dyDescent="0.4">
      <c r="A1193" s="24">
        <f>A1188+1</f>
        <v>505</v>
      </c>
      <c r="B1193" s="59" t="s">
        <v>648</v>
      </c>
      <c r="C1193" s="70" t="s">
        <v>132</v>
      </c>
      <c r="D1193" s="40">
        <v>2</v>
      </c>
      <c r="E1193" s="66"/>
      <c r="F1193" s="57"/>
    </row>
    <row r="1194" spans="1:6" s="58" customFormat="1" ht="30.9" hidden="1" outlineLevel="1" x14ac:dyDescent="0.4">
      <c r="A1194" s="54"/>
      <c r="B1194" s="48" t="s">
        <v>649</v>
      </c>
      <c r="C1194" s="49" t="s">
        <v>14</v>
      </c>
      <c r="D1194" s="65">
        <f>2*5.23*1.1/1000</f>
        <v>1.1506000000000002E-2</v>
      </c>
      <c r="E1194" s="51"/>
      <c r="F1194" s="57"/>
    </row>
    <row r="1195" spans="1:6" s="58" customFormat="1" ht="30" customHeight="1" collapsed="1" x14ac:dyDescent="0.4">
      <c r="A1195" s="24">
        <f>A1193+1</f>
        <v>506</v>
      </c>
      <c r="B1195" s="59" t="s">
        <v>158</v>
      </c>
      <c r="C1195" s="70" t="s">
        <v>67</v>
      </c>
      <c r="D1195" s="40" t="s">
        <v>650</v>
      </c>
      <c r="E1195" s="66"/>
      <c r="F1195" s="57"/>
    </row>
    <row r="1196" spans="1:6" s="58" customFormat="1" ht="30" hidden="1" customHeight="1" outlineLevel="1" x14ac:dyDescent="0.4">
      <c r="A1196" s="54"/>
      <c r="B1196" s="48" t="s">
        <v>210</v>
      </c>
      <c r="C1196" s="49" t="s">
        <v>58</v>
      </c>
      <c r="D1196" s="55">
        <v>7</v>
      </c>
      <c r="E1196" s="51">
        <v>1.4999999999999999E-2</v>
      </c>
      <c r="F1196" s="57"/>
    </row>
    <row r="1197" spans="1:6" s="58" customFormat="1" ht="30" hidden="1" customHeight="1" outlineLevel="1" x14ac:dyDescent="0.4">
      <c r="A1197" s="54"/>
      <c r="B1197" s="48" t="s">
        <v>426</v>
      </c>
      <c r="C1197" s="49" t="s">
        <v>58</v>
      </c>
      <c r="D1197" s="55">
        <v>2</v>
      </c>
      <c r="E1197" s="51">
        <v>4.0000000000000001E-3</v>
      </c>
      <c r="F1197" s="57"/>
    </row>
    <row r="1198" spans="1:6" s="58" customFormat="1" ht="30" hidden="1" customHeight="1" outlineLevel="1" x14ac:dyDescent="0.4">
      <c r="A1198" s="54"/>
      <c r="B1198" s="48" t="s">
        <v>552</v>
      </c>
      <c r="C1198" s="49" t="s">
        <v>58</v>
      </c>
      <c r="D1198" s="55">
        <v>12</v>
      </c>
      <c r="E1198" s="51">
        <v>6.5000000000000002E-2</v>
      </c>
      <c r="F1198" s="57"/>
    </row>
    <row r="1199" spans="1:6" s="58" customFormat="1" ht="30" customHeight="1" collapsed="1" x14ac:dyDescent="0.4">
      <c r="A1199" s="24">
        <f>A1195+1</f>
        <v>507</v>
      </c>
      <c r="B1199" s="71" t="s">
        <v>240</v>
      </c>
      <c r="C1199" s="40" t="s">
        <v>58</v>
      </c>
      <c r="D1199" s="82">
        <v>14</v>
      </c>
      <c r="E1199" s="66"/>
      <c r="F1199" s="57"/>
    </row>
    <row r="1200" spans="1:6" s="58" customFormat="1" ht="30" hidden="1" customHeight="1" outlineLevel="1" x14ac:dyDescent="0.4">
      <c r="A1200" s="54"/>
      <c r="B1200" s="48" t="s">
        <v>241</v>
      </c>
      <c r="C1200" s="49" t="s">
        <v>14</v>
      </c>
      <c r="D1200" s="65">
        <f>0.6*1.88*14/1000</f>
        <v>1.5791999999999997E-2</v>
      </c>
      <c r="E1200" s="51"/>
      <c r="F1200" s="57"/>
    </row>
    <row r="1201" spans="1:203" s="58" customFormat="1" ht="30" hidden="1" customHeight="1" outlineLevel="1" x14ac:dyDescent="0.4">
      <c r="A1201" s="54"/>
      <c r="B1201" s="48" t="s">
        <v>242</v>
      </c>
      <c r="C1201" s="49" t="s">
        <v>58</v>
      </c>
      <c r="D1201" s="55">
        <f>4*14</f>
        <v>56</v>
      </c>
      <c r="E1201" s="51"/>
      <c r="F1201" s="57"/>
    </row>
    <row r="1202" spans="1:203" s="58" customFormat="1" ht="30" hidden="1" customHeight="1" outlineLevel="1" x14ac:dyDescent="0.4">
      <c r="A1202" s="54"/>
      <c r="B1202" s="48" t="s">
        <v>243</v>
      </c>
      <c r="C1202" s="49" t="s">
        <v>58</v>
      </c>
      <c r="D1202" s="55">
        <f>12*14</f>
        <v>168</v>
      </c>
      <c r="E1202" s="51"/>
      <c r="F1202" s="57"/>
    </row>
    <row r="1203" spans="1:203" s="58" customFormat="1" ht="30" hidden="1" customHeight="1" outlineLevel="1" x14ac:dyDescent="0.4">
      <c r="A1203" s="54"/>
      <c r="B1203" s="48" t="s">
        <v>244</v>
      </c>
      <c r="C1203" s="49" t="s">
        <v>58</v>
      </c>
      <c r="D1203" s="55">
        <f>4*14</f>
        <v>56</v>
      </c>
      <c r="E1203" s="51"/>
      <c r="F1203" s="57"/>
    </row>
    <row r="1204" spans="1:203" s="58" customFormat="1" ht="30" hidden="1" customHeight="1" outlineLevel="1" x14ac:dyDescent="0.4">
      <c r="A1204" s="54"/>
      <c r="B1204" s="48" t="s">
        <v>245</v>
      </c>
      <c r="C1204" s="49" t="s">
        <v>58</v>
      </c>
      <c r="D1204" s="55">
        <f>8*14</f>
        <v>112</v>
      </c>
      <c r="E1204" s="51"/>
      <c r="F1204" s="57"/>
    </row>
    <row r="1205" spans="1:203" s="58" customFormat="1" ht="30" hidden="1" customHeight="1" outlineLevel="1" x14ac:dyDescent="0.4">
      <c r="A1205" s="54"/>
      <c r="B1205" s="48" t="s">
        <v>246</v>
      </c>
      <c r="C1205" s="49" t="s">
        <v>58</v>
      </c>
      <c r="D1205" s="55">
        <f>16*14</f>
        <v>224</v>
      </c>
      <c r="E1205" s="51"/>
      <c r="F1205" s="57"/>
    </row>
    <row r="1206" spans="1:203" s="58" customFormat="1" ht="30" hidden="1" customHeight="1" outlineLevel="1" x14ac:dyDescent="0.4">
      <c r="A1206" s="54"/>
      <c r="B1206" s="48" t="s">
        <v>247</v>
      </c>
      <c r="C1206" s="49" t="s">
        <v>58</v>
      </c>
      <c r="D1206" s="55">
        <f>16*14</f>
        <v>224</v>
      </c>
      <c r="E1206" s="51"/>
      <c r="F1206" s="57"/>
    </row>
    <row r="1207" spans="1:203" s="43" customFormat="1" ht="36" customHeight="1" collapsed="1" x14ac:dyDescent="0.35">
      <c r="A1207" s="24">
        <f>A1199+1</f>
        <v>508</v>
      </c>
      <c r="B1207" s="59" t="s">
        <v>72</v>
      </c>
      <c r="C1207" s="26" t="s">
        <v>29</v>
      </c>
      <c r="D1207" s="104">
        <f>2.74+2.57+12.17</f>
        <v>17.48</v>
      </c>
      <c r="E1207" s="41"/>
      <c r="F1207" s="42"/>
      <c r="H1207" s="44"/>
      <c r="K1207" s="45"/>
      <c r="L1207" s="45"/>
      <c r="M1207" s="45"/>
      <c r="N1207" s="44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  <c r="CZ1207" s="46"/>
      <c r="DA1207" s="46"/>
      <c r="DB1207" s="46"/>
      <c r="DC1207" s="46"/>
      <c r="DD1207" s="46"/>
      <c r="DE1207" s="46"/>
      <c r="DF1207" s="46"/>
      <c r="DG1207" s="46"/>
      <c r="DH1207" s="46"/>
      <c r="DI1207" s="46"/>
      <c r="DJ1207" s="46"/>
      <c r="DK1207" s="46"/>
      <c r="DL1207" s="46"/>
      <c r="DM1207" s="46"/>
      <c r="DN1207" s="46"/>
      <c r="DO1207" s="46"/>
      <c r="DP1207" s="46"/>
      <c r="DQ1207" s="46"/>
      <c r="DR1207" s="46"/>
      <c r="DS1207" s="46"/>
      <c r="DT1207" s="46"/>
      <c r="DU1207" s="46"/>
      <c r="DV1207" s="46"/>
      <c r="DW1207" s="46"/>
      <c r="DX1207" s="46"/>
      <c r="DY1207" s="46"/>
      <c r="DZ1207" s="46"/>
      <c r="EA1207" s="46"/>
      <c r="EB1207" s="46"/>
      <c r="EC1207" s="46"/>
      <c r="ED1207" s="46"/>
      <c r="EE1207" s="46"/>
      <c r="EF1207" s="46"/>
      <c r="EG1207" s="46"/>
      <c r="EH1207" s="46"/>
      <c r="EI1207" s="46"/>
      <c r="EJ1207" s="46"/>
      <c r="EK1207" s="46"/>
      <c r="EL1207" s="46"/>
      <c r="EM1207" s="46"/>
      <c r="EN1207" s="46"/>
      <c r="EO1207" s="46"/>
      <c r="EP1207" s="46"/>
      <c r="EQ1207" s="46"/>
      <c r="ER1207" s="46"/>
      <c r="ES1207" s="46"/>
      <c r="ET1207" s="46"/>
      <c r="EU1207" s="46"/>
      <c r="EV1207" s="46"/>
      <c r="EW1207" s="46"/>
      <c r="EX1207" s="46"/>
      <c r="EY1207" s="46"/>
      <c r="EZ1207" s="46"/>
      <c r="FA1207" s="46"/>
      <c r="FB1207" s="46"/>
      <c r="FC1207" s="46"/>
      <c r="FD1207" s="46"/>
      <c r="FE1207" s="46"/>
      <c r="FF1207" s="46"/>
      <c r="FG1207" s="46"/>
      <c r="FH1207" s="46"/>
      <c r="FI1207" s="46"/>
      <c r="FJ1207" s="46"/>
      <c r="FK1207" s="46"/>
      <c r="FL1207" s="46"/>
      <c r="FM1207" s="46"/>
      <c r="FN1207" s="46"/>
      <c r="FO1207" s="46"/>
      <c r="FP1207" s="46"/>
      <c r="FQ1207" s="46"/>
      <c r="FR1207" s="46"/>
      <c r="FS1207" s="46"/>
      <c r="FT1207" s="46"/>
      <c r="FU1207" s="46"/>
      <c r="FV1207" s="46"/>
      <c r="FW1207" s="46"/>
      <c r="FX1207" s="46"/>
      <c r="FY1207" s="46"/>
      <c r="FZ1207" s="46"/>
      <c r="GA1207" s="46"/>
      <c r="GB1207" s="46"/>
      <c r="GC1207" s="46"/>
      <c r="GD1207" s="46"/>
      <c r="GE1207" s="46"/>
      <c r="GF1207" s="46"/>
      <c r="GG1207" s="46"/>
      <c r="GH1207" s="46"/>
      <c r="GI1207" s="46"/>
      <c r="GJ1207" s="46"/>
      <c r="GK1207" s="46"/>
      <c r="GL1207" s="46"/>
      <c r="GM1207" s="46"/>
      <c r="GN1207" s="46"/>
      <c r="GO1207" s="46"/>
      <c r="GP1207" s="46"/>
      <c r="GQ1207" s="46"/>
      <c r="GR1207" s="46"/>
      <c r="GS1207" s="46"/>
      <c r="GT1207" s="46"/>
      <c r="GU1207" s="46"/>
    </row>
    <row r="1208" spans="1:203" s="58" customFormat="1" ht="30" hidden="1" customHeight="1" outlineLevel="1" x14ac:dyDescent="0.4">
      <c r="A1208" s="54"/>
      <c r="B1208" s="48" t="s">
        <v>73</v>
      </c>
      <c r="C1208" s="49" t="s">
        <v>74</v>
      </c>
      <c r="D1208" s="68">
        <f>3.31*D1207</f>
        <v>57.858800000000002</v>
      </c>
      <c r="E1208" s="69">
        <v>5.8000000000000003E-2</v>
      </c>
      <c r="F1208" s="57"/>
    </row>
    <row r="1209" spans="1:203" s="43" customFormat="1" ht="36" customHeight="1" collapsed="1" x14ac:dyDescent="0.35">
      <c r="A1209" s="24">
        <f>A1207+1</f>
        <v>509</v>
      </c>
      <c r="B1209" s="59" t="s">
        <v>75</v>
      </c>
      <c r="C1209" s="26" t="s">
        <v>29</v>
      </c>
      <c r="D1209" s="104">
        <f>2.74+2.57+12.17</f>
        <v>17.48</v>
      </c>
      <c r="E1209" s="41"/>
      <c r="F1209" s="42"/>
      <c r="H1209" s="44"/>
      <c r="K1209" s="45"/>
      <c r="L1209" s="45"/>
      <c r="M1209" s="45"/>
      <c r="N1209" s="44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  <c r="CZ1209" s="46"/>
      <c r="DA1209" s="46"/>
      <c r="DB1209" s="46"/>
      <c r="DC1209" s="46"/>
      <c r="DD1209" s="46"/>
      <c r="DE1209" s="46"/>
      <c r="DF1209" s="46"/>
      <c r="DG1209" s="46"/>
      <c r="DH1209" s="46"/>
      <c r="DI1209" s="46"/>
      <c r="DJ1209" s="46"/>
      <c r="DK1209" s="46"/>
      <c r="DL1209" s="46"/>
      <c r="DM1209" s="46"/>
      <c r="DN1209" s="46"/>
      <c r="DO1209" s="46"/>
      <c r="DP1209" s="46"/>
      <c r="DQ1209" s="46"/>
      <c r="DR1209" s="46"/>
      <c r="DS1209" s="46"/>
      <c r="DT1209" s="46"/>
      <c r="DU1209" s="46"/>
      <c r="DV1209" s="46"/>
      <c r="DW1209" s="46"/>
      <c r="DX1209" s="46"/>
      <c r="DY1209" s="46"/>
      <c r="DZ1209" s="46"/>
      <c r="EA1209" s="46"/>
      <c r="EB1209" s="46"/>
      <c r="EC1209" s="46"/>
      <c r="ED1209" s="46"/>
      <c r="EE1209" s="46"/>
      <c r="EF1209" s="46"/>
      <c r="EG1209" s="46"/>
      <c r="EH1209" s="46"/>
      <c r="EI1209" s="46"/>
      <c r="EJ1209" s="46"/>
      <c r="EK1209" s="46"/>
      <c r="EL1209" s="46"/>
      <c r="EM1209" s="46"/>
      <c r="EN1209" s="46"/>
      <c r="EO1209" s="46"/>
      <c r="EP1209" s="46"/>
      <c r="EQ1209" s="46"/>
      <c r="ER1209" s="46"/>
      <c r="ES1209" s="46"/>
      <c r="ET1209" s="46"/>
      <c r="EU1209" s="46"/>
      <c r="EV1209" s="46"/>
      <c r="EW1209" s="46"/>
      <c r="EX1209" s="46"/>
      <c r="EY1209" s="46"/>
      <c r="EZ1209" s="46"/>
      <c r="FA1209" s="46"/>
      <c r="FB1209" s="46"/>
      <c r="FC1209" s="46"/>
      <c r="FD1209" s="46"/>
      <c r="FE1209" s="46"/>
      <c r="FF1209" s="46"/>
      <c r="FG1209" s="46"/>
      <c r="FH1209" s="46"/>
      <c r="FI1209" s="46"/>
      <c r="FJ1209" s="46"/>
      <c r="FK1209" s="46"/>
      <c r="FL1209" s="46"/>
      <c r="FM1209" s="46"/>
      <c r="FN1209" s="46"/>
      <c r="FO1209" s="46"/>
      <c r="FP1209" s="46"/>
      <c r="FQ1209" s="46"/>
      <c r="FR1209" s="46"/>
      <c r="FS1209" s="46"/>
      <c r="FT1209" s="46"/>
      <c r="FU1209" s="46"/>
      <c r="FV1209" s="46"/>
      <c r="FW1209" s="46"/>
      <c r="FX1209" s="46"/>
      <c r="FY1209" s="46"/>
      <c r="FZ1209" s="46"/>
      <c r="GA1209" s="46"/>
      <c r="GB1209" s="46"/>
      <c r="GC1209" s="46"/>
      <c r="GD1209" s="46"/>
      <c r="GE1209" s="46"/>
      <c r="GF1209" s="46"/>
      <c r="GG1209" s="46"/>
      <c r="GH1209" s="46"/>
      <c r="GI1209" s="46"/>
      <c r="GJ1209" s="46"/>
      <c r="GK1209" s="46"/>
      <c r="GL1209" s="46"/>
      <c r="GM1209" s="46"/>
      <c r="GN1209" s="46"/>
      <c r="GO1209" s="46"/>
      <c r="GP1209" s="46"/>
      <c r="GQ1209" s="46"/>
      <c r="GR1209" s="46"/>
      <c r="GS1209" s="46"/>
      <c r="GT1209" s="46"/>
      <c r="GU1209" s="46"/>
    </row>
    <row r="1210" spans="1:203" s="43" customFormat="1" ht="36" customHeight="1" x14ac:dyDescent="0.35">
      <c r="A1210" s="24">
        <f>A1209+1</f>
        <v>510</v>
      </c>
      <c r="B1210" s="59" t="s">
        <v>76</v>
      </c>
      <c r="C1210" s="26" t="s">
        <v>29</v>
      </c>
      <c r="D1210" s="104">
        <f>2.74+2.57+12.17</f>
        <v>17.48</v>
      </c>
      <c r="E1210" s="41"/>
      <c r="F1210" s="42"/>
      <c r="H1210" s="44"/>
      <c r="K1210" s="45"/>
      <c r="L1210" s="45"/>
      <c r="M1210" s="45"/>
      <c r="N1210" s="44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  <c r="CZ1210" s="46"/>
      <c r="DA1210" s="46"/>
      <c r="DB1210" s="46"/>
      <c r="DC1210" s="46"/>
      <c r="DD1210" s="46"/>
      <c r="DE1210" s="46"/>
      <c r="DF1210" s="46"/>
      <c r="DG1210" s="46"/>
      <c r="DH1210" s="46"/>
      <c r="DI1210" s="46"/>
      <c r="DJ1210" s="46"/>
      <c r="DK1210" s="46"/>
      <c r="DL1210" s="46"/>
      <c r="DM1210" s="46"/>
      <c r="DN1210" s="46"/>
      <c r="DO1210" s="46"/>
      <c r="DP1210" s="46"/>
      <c r="DQ1210" s="46"/>
      <c r="DR1210" s="46"/>
      <c r="DS1210" s="46"/>
      <c r="DT1210" s="46"/>
      <c r="DU1210" s="46"/>
      <c r="DV1210" s="46"/>
      <c r="DW1210" s="46"/>
      <c r="DX1210" s="46"/>
      <c r="DY1210" s="46"/>
      <c r="DZ1210" s="46"/>
      <c r="EA1210" s="46"/>
      <c r="EB1210" s="46"/>
      <c r="EC1210" s="46"/>
      <c r="ED1210" s="46"/>
      <c r="EE1210" s="46"/>
      <c r="EF1210" s="46"/>
      <c r="EG1210" s="46"/>
      <c r="EH1210" s="46"/>
      <c r="EI1210" s="46"/>
      <c r="EJ1210" s="46"/>
      <c r="EK1210" s="46"/>
      <c r="EL1210" s="46"/>
      <c r="EM1210" s="46"/>
      <c r="EN1210" s="46"/>
      <c r="EO1210" s="46"/>
      <c r="EP1210" s="46"/>
      <c r="EQ1210" s="46"/>
      <c r="ER1210" s="46"/>
      <c r="ES1210" s="46"/>
      <c r="ET1210" s="46"/>
      <c r="EU1210" s="46"/>
      <c r="EV1210" s="46"/>
      <c r="EW1210" s="46"/>
      <c r="EX1210" s="46"/>
      <c r="EY1210" s="46"/>
      <c r="EZ1210" s="46"/>
      <c r="FA1210" s="46"/>
      <c r="FB1210" s="46"/>
      <c r="FC1210" s="46"/>
      <c r="FD1210" s="46"/>
      <c r="FE1210" s="46"/>
      <c r="FF1210" s="46"/>
      <c r="FG1210" s="46"/>
      <c r="FH1210" s="46"/>
      <c r="FI1210" s="46"/>
      <c r="FJ1210" s="46"/>
      <c r="FK1210" s="46"/>
      <c r="FL1210" s="46"/>
      <c r="FM1210" s="46"/>
      <c r="FN1210" s="46"/>
      <c r="FO1210" s="46"/>
      <c r="FP1210" s="46"/>
      <c r="FQ1210" s="46"/>
      <c r="FR1210" s="46"/>
      <c r="FS1210" s="46"/>
      <c r="FT1210" s="46"/>
      <c r="FU1210" s="46"/>
      <c r="FV1210" s="46"/>
      <c r="FW1210" s="46"/>
      <c r="FX1210" s="46"/>
      <c r="FY1210" s="46"/>
      <c r="FZ1210" s="46"/>
      <c r="GA1210" s="46"/>
      <c r="GB1210" s="46"/>
      <c r="GC1210" s="46"/>
      <c r="GD1210" s="46"/>
      <c r="GE1210" s="46"/>
      <c r="GF1210" s="46"/>
      <c r="GG1210" s="46"/>
      <c r="GH1210" s="46"/>
      <c r="GI1210" s="46"/>
      <c r="GJ1210" s="46"/>
      <c r="GK1210" s="46"/>
      <c r="GL1210" s="46"/>
      <c r="GM1210" s="46"/>
      <c r="GN1210" s="46"/>
      <c r="GO1210" s="46"/>
      <c r="GP1210" s="46"/>
      <c r="GQ1210" s="46"/>
      <c r="GR1210" s="46"/>
      <c r="GS1210" s="46"/>
      <c r="GT1210" s="46"/>
      <c r="GU1210" s="46"/>
    </row>
    <row r="1211" spans="1:203" s="58" customFormat="1" ht="30" customHeight="1" x14ac:dyDescent="0.4">
      <c r="A1211" s="24">
        <f>A1210+1</f>
        <v>511</v>
      </c>
      <c r="B1211" s="59" t="s">
        <v>77</v>
      </c>
      <c r="C1211" s="70" t="s">
        <v>29</v>
      </c>
      <c r="D1211" s="104">
        <f>2.74+2.57+12.17</f>
        <v>17.48</v>
      </c>
      <c r="E1211" s="66"/>
      <c r="F1211" s="57"/>
    </row>
    <row r="1212" spans="1:203" s="58" customFormat="1" ht="30" hidden="1" customHeight="1" outlineLevel="1" x14ac:dyDescent="0.4">
      <c r="A1212" s="54"/>
      <c r="B1212" s="48" t="s">
        <v>78</v>
      </c>
      <c r="C1212" s="49" t="s">
        <v>74</v>
      </c>
      <c r="D1212" s="68">
        <f>D1211*0.255</f>
        <v>4.4573999999999998</v>
      </c>
      <c r="E1212" s="69">
        <v>5.0000000000000001E-3</v>
      </c>
      <c r="F1212" s="57"/>
    </row>
    <row r="1213" spans="1:203" s="58" customFormat="1" ht="30" customHeight="1" collapsed="1" x14ac:dyDescent="0.4">
      <c r="A1213" s="24">
        <f>A1211+1</f>
        <v>512</v>
      </c>
      <c r="B1213" s="59" t="s">
        <v>79</v>
      </c>
      <c r="C1213" s="70" t="s">
        <v>29</v>
      </c>
      <c r="D1213" s="104">
        <f>2.74+2.57+12.17</f>
        <v>17.48</v>
      </c>
      <c r="E1213" s="66"/>
      <c r="F1213" s="57"/>
    </row>
    <row r="1214" spans="1:203" s="58" customFormat="1" ht="30" hidden="1" customHeight="1" outlineLevel="1" x14ac:dyDescent="0.4">
      <c r="A1214" s="54"/>
      <c r="B1214" s="48" t="s">
        <v>80</v>
      </c>
      <c r="C1214" s="49" t="s">
        <v>74</v>
      </c>
      <c r="D1214" s="68">
        <f>D1213*0.36*2</f>
        <v>12.585599999999999</v>
      </c>
      <c r="E1214" s="69">
        <v>1.2999999999999999E-2</v>
      </c>
      <c r="F1214" s="57"/>
    </row>
    <row r="1215" spans="1:203" s="58" customFormat="1" ht="30" customHeight="1" collapsed="1" x14ac:dyDescent="0.4">
      <c r="A1215" s="24">
        <f>A1213+1</f>
        <v>513</v>
      </c>
      <c r="B1215" s="59" t="s">
        <v>368</v>
      </c>
      <c r="C1215" s="70" t="s">
        <v>58</v>
      </c>
      <c r="D1215" s="40">
        <v>14</v>
      </c>
      <c r="E1215" s="66"/>
      <c r="F1215" s="57"/>
    </row>
    <row r="1216" spans="1:203" s="58" customFormat="1" ht="30" hidden="1" customHeight="1" outlineLevel="1" x14ac:dyDescent="0.4">
      <c r="A1216" s="54"/>
      <c r="B1216" s="48" t="s">
        <v>555</v>
      </c>
      <c r="C1216" s="49" t="s">
        <v>58</v>
      </c>
      <c r="D1216" s="75">
        <v>6</v>
      </c>
      <c r="E1216" s="51"/>
      <c r="F1216" s="57"/>
    </row>
    <row r="1217" spans="1:28" s="58" customFormat="1" ht="30" hidden="1" customHeight="1" outlineLevel="1" x14ac:dyDescent="0.4">
      <c r="A1217" s="54"/>
      <c r="B1217" s="48" t="s">
        <v>557</v>
      </c>
      <c r="C1217" s="49" t="s">
        <v>58</v>
      </c>
      <c r="D1217" s="75">
        <v>8</v>
      </c>
      <c r="E1217" s="51"/>
      <c r="F1217" s="57"/>
    </row>
    <row r="1218" spans="1:28" s="58" customFormat="1" ht="46.3" collapsed="1" x14ac:dyDescent="0.4">
      <c r="A1218" s="24">
        <f>A1215+1</f>
        <v>514</v>
      </c>
      <c r="B1218" s="59" t="s">
        <v>364</v>
      </c>
      <c r="C1218" s="70" t="s">
        <v>19</v>
      </c>
      <c r="D1218" s="67">
        <v>1.7817000000000001</v>
      </c>
      <c r="E1218" s="66"/>
      <c r="F1218" s="57"/>
    </row>
    <row r="1219" spans="1:28" s="58" customFormat="1" ht="30.9" hidden="1" outlineLevel="1" x14ac:dyDescent="0.4">
      <c r="A1219" s="54"/>
      <c r="B1219" s="48" t="s">
        <v>365</v>
      </c>
      <c r="C1219" s="49" t="s">
        <v>19</v>
      </c>
      <c r="D1219" s="68">
        <v>1.7817000000000001</v>
      </c>
      <c r="E1219" s="69">
        <v>1E-3</v>
      </c>
      <c r="F1219" s="57"/>
      <c r="J1219" s="58">
        <v>1.08</v>
      </c>
    </row>
    <row r="1220" spans="1:28" s="58" customFormat="1" ht="30" customHeight="1" collapsed="1" x14ac:dyDescent="0.4">
      <c r="A1220" s="24">
        <f>A1218+1</f>
        <v>515</v>
      </c>
      <c r="B1220" s="59" t="s">
        <v>366</v>
      </c>
      <c r="C1220" s="70" t="s">
        <v>29</v>
      </c>
      <c r="D1220" s="67">
        <v>28.45</v>
      </c>
      <c r="E1220" s="66"/>
      <c r="F1220" s="57"/>
    </row>
    <row r="1221" spans="1:28" s="58" customFormat="1" ht="30" hidden="1" customHeight="1" outlineLevel="1" x14ac:dyDescent="0.4">
      <c r="A1221" s="54"/>
      <c r="B1221" s="48" t="s">
        <v>367</v>
      </c>
      <c r="C1221" s="49" t="s">
        <v>29</v>
      </c>
      <c r="D1221" s="68">
        <v>28.45</v>
      </c>
      <c r="E1221" s="69"/>
      <c r="F1221" s="57"/>
      <c r="J1221" s="58">
        <v>1.22</v>
      </c>
    </row>
    <row r="1222" spans="1:28" ht="31" customHeight="1" collapsed="1" x14ac:dyDescent="0.35">
      <c r="A1222" s="24">
        <f>A1220+1</f>
        <v>516</v>
      </c>
      <c r="B1222" s="25" t="s">
        <v>562</v>
      </c>
      <c r="C1222" s="70" t="s">
        <v>561</v>
      </c>
      <c r="D1222" s="26">
        <v>29</v>
      </c>
      <c r="E1222" s="41"/>
      <c r="F1222" s="42"/>
    </row>
    <row r="1223" spans="1:28" ht="31" customHeight="1" x14ac:dyDescent="0.35">
      <c r="A1223" s="24">
        <f>A1222+1</f>
        <v>517</v>
      </c>
      <c r="B1223" s="25" t="s">
        <v>563</v>
      </c>
      <c r="C1223" s="70" t="s">
        <v>561</v>
      </c>
      <c r="D1223" s="26">
        <v>7</v>
      </c>
      <c r="E1223" s="41"/>
      <c r="F1223" s="42"/>
    </row>
    <row r="1224" spans="1:28" ht="31" customHeight="1" x14ac:dyDescent="0.35">
      <c r="A1224" s="24">
        <f t="shared" ref="A1224:A1227" si="5">A1223+1</f>
        <v>518</v>
      </c>
      <c r="B1224" s="25" t="s">
        <v>566</v>
      </c>
      <c r="C1224" s="70" t="s">
        <v>561</v>
      </c>
      <c r="D1224" s="26">
        <v>29</v>
      </c>
      <c r="E1224" s="41"/>
      <c r="F1224" s="42"/>
    </row>
    <row r="1225" spans="1:28" ht="31" customHeight="1" x14ac:dyDescent="0.35">
      <c r="A1225" s="24">
        <f t="shared" si="5"/>
        <v>519</v>
      </c>
      <c r="B1225" s="25" t="s">
        <v>567</v>
      </c>
      <c r="C1225" s="70" t="s">
        <v>561</v>
      </c>
      <c r="D1225" s="26">
        <v>7</v>
      </c>
      <c r="E1225" s="41"/>
      <c r="F1225" s="42"/>
    </row>
    <row r="1226" spans="1:28" ht="31" customHeight="1" x14ac:dyDescent="0.35">
      <c r="A1226" s="24">
        <f t="shared" si="5"/>
        <v>520</v>
      </c>
      <c r="B1226" s="25" t="s">
        <v>571</v>
      </c>
      <c r="C1226" s="89" t="s">
        <v>570</v>
      </c>
      <c r="D1226" s="26">
        <v>50</v>
      </c>
      <c r="E1226" s="41"/>
      <c r="F1226" s="42"/>
    </row>
    <row r="1227" spans="1:28" ht="31" customHeight="1" x14ac:dyDescent="0.35">
      <c r="A1227" s="24">
        <f t="shared" si="5"/>
        <v>521</v>
      </c>
      <c r="B1227" s="25" t="s">
        <v>572</v>
      </c>
      <c r="C1227" s="89" t="s">
        <v>570</v>
      </c>
      <c r="D1227" s="26">
        <v>22</v>
      </c>
      <c r="E1227" s="41"/>
      <c r="F1227" s="42"/>
    </row>
    <row r="1228" spans="1:28" s="39" customFormat="1" ht="21" customHeight="1" x14ac:dyDescent="0.35">
      <c r="A1228" s="158" t="s">
        <v>651</v>
      </c>
      <c r="B1228" s="158"/>
      <c r="C1228" s="158"/>
      <c r="D1228" s="158"/>
      <c r="E1228" s="158"/>
      <c r="F1228" s="34"/>
      <c r="G1228" s="35"/>
      <c r="H1228" s="36"/>
      <c r="I1228" s="37"/>
      <c r="J1228" s="37"/>
      <c r="K1228" s="38"/>
      <c r="L1228" s="38"/>
      <c r="M1228" s="38"/>
      <c r="N1228" s="36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</row>
    <row r="1229" spans="1:28" ht="31" customHeight="1" x14ac:dyDescent="0.35">
      <c r="A1229" s="24">
        <f>A1227+1</f>
        <v>522</v>
      </c>
      <c r="B1229" s="25" t="s">
        <v>652</v>
      </c>
      <c r="C1229" s="89" t="s">
        <v>58</v>
      </c>
      <c r="D1229" s="26">
        <v>4</v>
      </c>
      <c r="E1229" s="41"/>
      <c r="F1229" s="42"/>
    </row>
    <row r="1230" spans="1:28" ht="92.6" hidden="1" outlineLevel="1" x14ac:dyDescent="0.35">
      <c r="A1230" s="47"/>
      <c r="B1230" s="48" t="s">
        <v>653</v>
      </c>
      <c r="C1230" s="49" t="s">
        <v>58</v>
      </c>
      <c r="D1230" s="49">
        <v>2</v>
      </c>
      <c r="E1230" s="78"/>
      <c r="F1230" s="42"/>
    </row>
    <row r="1231" spans="1:28" ht="92.6" hidden="1" outlineLevel="1" x14ac:dyDescent="0.35">
      <c r="A1231" s="47"/>
      <c r="B1231" s="48" t="s">
        <v>654</v>
      </c>
      <c r="C1231" s="49" t="s">
        <v>58</v>
      </c>
      <c r="D1231" s="49">
        <v>2</v>
      </c>
      <c r="E1231" s="78"/>
      <c r="F1231" s="42"/>
    </row>
    <row r="1232" spans="1:28" ht="31" customHeight="1" collapsed="1" x14ac:dyDescent="0.35">
      <c r="A1232" s="24">
        <f>A1229+1</f>
        <v>523</v>
      </c>
      <c r="B1232" s="25" t="s">
        <v>655</v>
      </c>
      <c r="C1232" s="89" t="s">
        <v>58</v>
      </c>
      <c r="D1232" s="26">
        <v>4</v>
      </c>
      <c r="E1232" s="41"/>
      <c r="F1232" s="42"/>
    </row>
    <row r="1233" spans="1:203" ht="30" hidden="1" customHeight="1" outlineLevel="1" x14ac:dyDescent="0.35">
      <c r="A1233" s="47"/>
      <c r="B1233" s="48" t="s">
        <v>656</v>
      </c>
      <c r="C1233" s="49" t="s">
        <v>251</v>
      </c>
      <c r="D1233" s="49">
        <v>4</v>
      </c>
      <c r="E1233" s="78"/>
      <c r="F1233" s="42"/>
    </row>
    <row r="1234" spans="1:203" s="43" customFormat="1" ht="31" customHeight="1" collapsed="1" x14ac:dyDescent="0.35">
      <c r="A1234" s="24">
        <f>A1232+1</f>
        <v>524</v>
      </c>
      <c r="B1234" s="25" t="s">
        <v>657</v>
      </c>
      <c r="C1234" s="89" t="s">
        <v>58</v>
      </c>
      <c r="D1234" s="26">
        <v>2</v>
      </c>
      <c r="E1234" s="41"/>
      <c r="F1234" s="42"/>
      <c r="H1234" s="44"/>
      <c r="K1234" s="45"/>
      <c r="L1234" s="45"/>
      <c r="M1234" s="45"/>
      <c r="N1234" s="44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6"/>
      <c r="EK1234" s="46"/>
      <c r="EL1234" s="46"/>
      <c r="EM1234" s="46"/>
      <c r="EN1234" s="46"/>
      <c r="EO1234" s="46"/>
      <c r="EP1234" s="46"/>
      <c r="EQ1234" s="46"/>
      <c r="ER1234" s="46"/>
      <c r="ES1234" s="46"/>
      <c r="ET1234" s="46"/>
      <c r="EU1234" s="46"/>
      <c r="EV1234" s="46"/>
      <c r="EW1234" s="46"/>
      <c r="EX1234" s="46"/>
      <c r="EY1234" s="46"/>
      <c r="EZ1234" s="46"/>
      <c r="FA1234" s="46"/>
      <c r="FB1234" s="46"/>
      <c r="FC1234" s="46"/>
      <c r="FD1234" s="46"/>
      <c r="FE1234" s="46"/>
      <c r="FF1234" s="46"/>
      <c r="FG1234" s="46"/>
      <c r="FH1234" s="46"/>
      <c r="FI1234" s="46"/>
      <c r="FJ1234" s="46"/>
      <c r="FK1234" s="46"/>
      <c r="FL1234" s="46"/>
      <c r="FM1234" s="46"/>
      <c r="FN1234" s="46"/>
      <c r="FO1234" s="46"/>
      <c r="FP1234" s="46"/>
      <c r="FQ1234" s="46"/>
      <c r="FR1234" s="46"/>
      <c r="FS1234" s="46"/>
      <c r="FT1234" s="46"/>
      <c r="FU1234" s="46"/>
      <c r="FV1234" s="46"/>
      <c r="FW1234" s="46"/>
      <c r="FX1234" s="46"/>
      <c r="FY1234" s="46"/>
      <c r="FZ1234" s="46"/>
      <c r="GA1234" s="46"/>
      <c r="GB1234" s="46"/>
      <c r="GC1234" s="46"/>
      <c r="GD1234" s="46"/>
      <c r="GE1234" s="46"/>
      <c r="GF1234" s="46"/>
      <c r="GG1234" s="46"/>
      <c r="GH1234" s="46"/>
      <c r="GI1234" s="46"/>
      <c r="GJ1234" s="46"/>
      <c r="GK1234" s="46"/>
      <c r="GL1234" s="46"/>
      <c r="GM1234" s="46"/>
      <c r="GN1234" s="46"/>
      <c r="GO1234" s="46"/>
      <c r="GP1234" s="46"/>
      <c r="GQ1234" s="46"/>
      <c r="GR1234" s="46"/>
      <c r="GS1234" s="46"/>
      <c r="GT1234" s="46"/>
      <c r="GU1234" s="46"/>
    </row>
    <row r="1235" spans="1:203" s="43" customFormat="1" ht="61.75" hidden="1" outlineLevel="1" x14ac:dyDescent="0.35">
      <c r="A1235" s="47"/>
      <c r="B1235" s="48" t="s">
        <v>658</v>
      </c>
      <c r="C1235" s="49" t="s">
        <v>58</v>
      </c>
      <c r="D1235" s="49">
        <v>2</v>
      </c>
      <c r="E1235" s="78"/>
      <c r="F1235" s="42"/>
      <c r="H1235" s="44"/>
      <c r="K1235" s="45"/>
      <c r="L1235" s="45"/>
      <c r="M1235" s="45"/>
      <c r="N1235" s="44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  <c r="CZ1235" s="46"/>
      <c r="DA1235" s="46"/>
      <c r="DB1235" s="46"/>
      <c r="DC1235" s="46"/>
      <c r="DD1235" s="46"/>
      <c r="DE1235" s="46"/>
      <c r="DF1235" s="46"/>
      <c r="DG1235" s="46"/>
      <c r="DH1235" s="46"/>
      <c r="DI1235" s="46"/>
      <c r="DJ1235" s="46"/>
      <c r="DK1235" s="46"/>
      <c r="DL1235" s="46"/>
      <c r="DM1235" s="46"/>
      <c r="DN1235" s="46"/>
      <c r="DO1235" s="46"/>
      <c r="DP1235" s="46"/>
      <c r="DQ1235" s="46"/>
      <c r="DR1235" s="46"/>
      <c r="DS1235" s="46"/>
      <c r="DT1235" s="46"/>
      <c r="DU1235" s="46"/>
      <c r="DV1235" s="46"/>
      <c r="DW1235" s="46"/>
      <c r="DX1235" s="46"/>
      <c r="DY1235" s="46"/>
      <c r="DZ1235" s="46"/>
      <c r="EA1235" s="46"/>
      <c r="EB1235" s="46"/>
      <c r="EC1235" s="46"/>
      <c r="ED1235" s="46"/>
      <c r="EE1235" s="46"/>
      <c r="EF1235" s="46"/>
      <c r="EG1235" s="46"/>
      <c r="EH1235" s="46"/>
      <c r="EI1235" s="46"/>
      <c r="EJ1235" s="46"/>
      <c r="EK1235" s="46"/>
      <c r="EL1235" s="46"/>
      <c r="EM1235" s="46"/>
      <c r="EN1235" s="46"/>
      <c r="EO1235" s="46"/>
      <c r="EP1235" s="46"/>
      <c r="EQ1235" s="46"/>
      <c r="ER1235" s="46"/>
      <c r="ES1235" s="46"/>
      <c r="ET1235" s="46"/>
      <c r="EU1235" s="46"/>
      <c r="EV1235" s="46"/>
      <c r="EW1235" s="46"/>
      <c r="EX1235" s="46"/>
      <c r="EY1235" s="46"/>
      <c r="EZ1235" s="46"/>
      <c r="FA1235" s="46"/>
      <c r="FB1235" s="46"/>
      <c r="FC1235" s="46"/>
      <c r="FD1235" s="46"/>
      <c r="FE1235" s="46"/>
      <c r="FF1235" s="46"/>
      <c r="FG1235" s="46"/>
      <c r="FH1235" s="46"/>
      <c r="FI1235" s="46"/>
      <c r="FJ1235" s="46"/>
      <c r="FK1235" s="46"/>
      <c r="FL1235" s="46"/>
      <c r="FM1235" s="46"/>
      <c r="FN1235" s="46"/>
      <c r="FO1235" s="46"/>
      <c r="FP1235" s="46"/>
      <c r="FQ1235" s="46"/>
      <c r="FR1235" s="46"/>
      <c r="FS1235" s="46"/>
      <c r="FT1235" s="46"/>
      <c r="FU1235" s="46"/>
      <c r="FV1235" s="46"/>
      <c r="FW1235" s="46"/>
      <c r="FX1235" s="46"/>
      <c r="FY1235" s="46"/>
      <c r="FZ1235" s="46"/>
      <c r="GA1235" s="46"/>
      <c r="GB1235" s="46"/>
      <c r="GC1235" s="46"/>
      <c r="GD1235" s="46"/>
      <c r="GE1235" s="46"/>
      <c r="GF1235" s="46"/>
      <c r="GG1235" s="46"/>
      <c r="GH1235" s="46"/>
      <c r="GI1235" s="46"/>
      <c r="GJ1235" s="46"/>
      <c r="GK1235" s="46"/>
      <c r="GL1235" s="46"/>
      <c r="GM1235" s="46"/>
      <c r="GN1235" s="46"/>
      <c r="GO1235" s="46"/>
      <c r="GP1235" s="46"/>
      <c r="GQ1235" s="46"/>
      <c r="GR1235" s="46"/>
      <c r="GS1235" s="46"/>
      <c r="GT1235" s="46"/>
      <c r="GU1235" s="46"/>
    </row>
    <row r="1236" spans="1:203" s="43" customFormat="1" ht="31" customHeight="1" collapsed="1" x14ac:dyDescent="0.35">
      <c r="A1236" s="24">
        <f>A1234+1</f>
        <v>525</v>
      </c>
      <c r="B1236" s="25" t="s">
        <v>577</v>
      </c>
      <c r="C1236" s="89" t="s">
        <v>578</v>
      </c>
      <c r="D1236" s="26">
        <v>4</v>
      </c>
      <c r="E1236" s="41"/>
      <c r="F1236" s="42"/>
      <c r="H1236" s="44"/>
      <c r="K1236" s="45"/>
      <c r="L1236" s="45"/>
      <c r="M1236" s="45"/>
      <c r="N1236" s="44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  <c r="CZ1236" s="46"/>
      <c r="DA1236" s="46"/>
      <c r="DB1236" s="46"/>
      <c r="DC1236" s="46"/>
      <c r="DD1236" s="46"/>
      <c r="DE1236" s="46"/>
      <c r="DF1236" s="46"/>
      <c r="DG1236" s="46"/>
      <c r="DH1236" s="46"/>
      <c r="DI1236" s="46"/>
      <c r="DJ1236" s="46"/>
      <c r="DK1236" s="46"/>
      <c r="DL1236" s="46"/>
      <c r="DM1236" s="46"/>
      <c r="DN1236" s="46"/>
      <c r="DO1236" s="46"/>
      <c r="DP1236" s="46"/>
      <c r="DQ1236" s="46"/>
      <c r="DR1236" s="46"/>
      <c r="DS1236" s="46"/>
      <c r="DT1236" s="46"/>
      <c r="DU1236" s="46"/>
      <c r="DV1236" s="46"/>
      <c r="DW1236" s="46"/>
      <c r="DX1236" s="46"/>
      <c r="DY1236" s="46"/>
      <c r="DZ1236" s="46"/>
      <c r="EA1236" s="46"/>
      <c r="EB1236" s="46"/>
      <c r="EC1236" s="46"/>
      <c r="ED1236" s="46"/>
      <c r="EE1236" s="46"/>
      <c r="EF1236" s="46"/>
      <c r="EG1236" s="46"/>
      <c r="EH1236" s="46"/>
      <c r="EI1236" s="46"/>
      <c r="EJ1236" s="46"/>
      <c r="EK1236" s="46"/>
      <c r="EL1236" s="46"/>
      <c r="EM1236" s="46"/>
      <c r="EN1236" s="46"/>
      <c r="EO1236" s="46"/>
      <c r="EP1236" s="46"/>
      <c r="EQ1236" s="46"/>
      <c r="ER1236" s="46"/>
      <c r="ES1236" s="46"/>
      <c r="ET1236" s="46"/>
      <c r="EU1236" s="46"/>
      <c r="EV1236" s="46"/>
      <c r="EW1236" s="46"/>
      <c r="EX1236" s="46"/>
      <c r="EY1236" s="46"/>
      <c r="EZ1236" s="46"/>
      <c r="FA1236" s="46"/>
      <c r="FB1236" s="46"/>
      <c r="FC1236" s="46"/>
      <c r="FD1236" s="46"/>
      <c r="FE1236" s="46"/>
      <c r="FF1236" s="46"/>
      <c r="FG1236" s="46"/>
      <c r="FH1236" s="46"/>
      <c r="FI1236" s="46"/>
      <c r="FJ1236" s="46"/>
      <c r="FK1236" s="46"/>
      <c r="FL1236" s="46"/>
      <c r="FM1236" s="46"/>
      <c r="FN1236" s="46"/>
      <c r="FO1236" s="46"/>
      <c r="FP1236" s="46"/>
      <c r="FQ1236" s="46"/>
      <c r="FR1236" s="46"/>
      <c r="FS1236" s="46"/>
      <c r="FT1236" s="46"/>
      <c r="FU1236" s="46"/>
      <c r="FV1236" s="46"/>
      <c r="FW1236" s="46"/>
      <c r="FX1236" s="46"/>
      <c r="FY1236" s="46"/>
      <c r="FZ1236" s="46"/>
      <c r="GA1236" s="46"/>
      <c r="GB1236" s="46"/>
      <c r="GC1236" s="46"/>
      <c r="GD1236" s="46"/>
      <c r="GE1236" s="46"/>
      <c r="GF1236" s="46"/>
      <c r="GG1236" s="46"/>
      <c r="GH1236" s="46"/>
      <c r="GI1236" s="46"/>
      <c r="GJ1236" s="46"/>
      <c r="GK1236" s="46"/>
      <c r="GL1236" s="46"/>
      <c r="GM1236" s="46"/>
      <c r="GN1236" s="46"/>
      <c r="GO1236" s="46"/>
      <c r="GP1236" s="46"/>
      <c r="GQ1236" s="46"/>
      <c r="GR1236" s="46"/>
      <c r="GS1236" s="46"/>
      <c r="GT1236" s="46"/>
      <c r="GU1236" s="46"/>
    </row>
    <row r="1237" spans="1:203" s="43" customFormat="1" ht="30.9" hidden="1" outlineLevel="1" x14ac:dyDescent="0.35">
      <c r="A1237" s="47"/>
      <c r="B1237" s="48" t="s">
        <v>579</v>
      </c>
      <c r="C1237" s="49" t="s">
        <v>58</v>
      </c>
      <c r="D1237" s="49">
        <v>4</v>
      </c>
      <c r="E1237" s="78"/>
      <c r="F1237" s="42"/>
      <c r="H1237" s="44"/>
      <c r="K1237" s="45"/>
      <c r="L1237" s="45"/>
      <c r="M1237" s="45"/>
      <c r="N1237" s="44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  <c r="CZ1237" s="46"/>
      <c r="DA1237" s="46"/>
      <c r="DB1237" s="46"/>
      <c r="DC1237" s="46"/>
      <c r="DD1237" s="46"/>
      <c r="DE1237" s="46"/>
      <c r="DF1237" s="46"/>
      <c r="DG1237" s="46"/>
      <c r="DH1237" s="46"/>
      <c r="DI1237" s="46"/>
      <c r="DJ1237" s="46"/>
      <c r="DK1237" s="46"/>
      <c r="DL1237" s="46"/>
      <c r="DM1237" s="46"/>
      <c r="DN1237" s="46"/>
      <c r="DO1237" s="46"/>
      <c r="DP1237" s="46"/>
      <c r="DQ1237" s="46"/>
      <c r="DR1237" s="46"/>
      <c r="DS1237" s="46"/>
      <c r="DT1237" s="46"/>
      <c r="DU1237" s="46"/>
      <c r="DV1237" s="46"/>
      <c r="DW1237" s="46"/>
      <c r="DX1237" s="46"/>
      <c r="DY1237" s="46"/>
      <c r="DZ1237" s="46"/>
      <c r="EA1237" s="46"/>
      <c r="EB1237" s="46"/>
      <c r="EC1237" s="46"/>
      <c r="ED1237" s="46"/>
      <c r="EE1237" s="46"/>
      <c r="EF1237" s="46"/>
      <c r="EG1237" s="46"/>
      <c r="EH1237" s="46"/>
      <c r="EI1237" s="46"/>
      <c r="EJ1237" s="46"/>
      <c r="EK1237" s="46"/>
      <c r="EL1237" s="46"/>
      <c r="EM1237" s="46"/>
      <c r="EN1237" s="46"/>
      <c r="EO1237" s="46"/>
      <c r="EP1237" s="46"/>
      <c r="EQ1237" s="46"/>
      <c r="ER1237" s="46"/>
      <c r="ES1237" s="46"/>
      <c r="ET1237" s="46"/>
      <c r="EU1237" s="46"/>
      <c r="EV1237" s="46"/>
      <c r="EW1237" s="46"/>
      <c r="EX1237" s="46"/>
      <c r="EY1237" s="46"/>
      <c r="EZ1237" s="46"/>
      <c r="FA1237" s="46"/>
      <c r="FB1237" s="46"/>
      <c r="FC1237" s="46"/>
      <c r="FD1237" s="46"/>
      <c r="FE1237" s="46"/>
      <c r="FF1237" s="46"/>
      <c r="FG1237" s="46"/>
      <c r="FH1237" s="46"/>
      <c r="FI1237" s="46"/>
      <c r="FJ1237" s="46"/>
      <c r="FK1237" s="46"/>
      <c r="FL1237" s="46"/>
      <c r="FM1237" s="46"/>
      <c r="FN1237" s="46"/>
      <c r="FO1237" s="46"/>
      <c r="FP1237" s="46"/>
      <c r="FQ1237" s="46"/>
      <c r="FR1237" s="46"/>
      <c r="FS1237" s="46"/>
      <c r="FT1237" s="46"/>
      <c r="FU1237" s="46"/>
      <c r="FV1237" s="46"/>
      <c r="FW1237" s="46"/>
      <c r="FX1237" s="46"/>
      <c r="FY1237" s="46"/>
      <c r="FZ1237" s="46"/>
      <c r="GA1237" s="46"/>
      <c r="GB1237" s="46"/>
      <c r="GC1237" s="46"/>
      <c r="GD1237" s="46"/>
      <c r="GE1237" s="46"/>
      <c r="GF1237" s="46"/>
      <c r="GG1237" s="46"/>
      <c r="GH1237" s="46"/>
      <c r="GI1237" s="46"/>
      <c r="GJ1237" s="46"/>
      <c r="GK1237" s="46"/>
      <c r="GL1237" s="46"/>
      <c r="GM1237" s="46"/>
      <c r="GN1237" s="46"/>
      <c r="GO1237" s="46"/>
      <c r="GP1237" s="46"/>
      <c r="GQ1237" s="46"/>
      <c r="GR1237" s="46"/>
      <c r="GS1237" s="46"/>
      <c r="GT1237" s="46"/>
      <c r="GU1237" s="46"/>
    </row>
    <row r="1238" spans="1:203" s="43" customFormat="1" ht="31" customHeight="1" collapsed="1" x14ac:dyDescent="0.35">
      <c r="A1238" s="24">
        <f>A1236+1</f>
        <v>526</v>
      </c>
      <c r="B1238" s="25" t="s">
        <v>580</v>
      </c>
      <c r="C1238" s="89" t="s">
        <v>58</v>
      </c>
      <c r="D1238" s="26">
        <v>1</v>
      </c>
      <c r="E1238" s="41"/>
      <c r="F1238" s="42"/>
      <c r="H1238" s="44"/>
      <c r="K1238" s="45"/>
      <c r="L1238" s="45"/>
      <c r="M1238" s="45"/>
      <c r="N1238" s="44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  <c r="CZ1238" s="46"/>
      <c r="DA1238" s="46"/>
      <c r="DB1238" s="46"/>
      <c r="DC1238" s="46"/>
      <c r="DD1238" s="46"/>
      <c r="DE1238" s="46"/>
      <c r="DF1238" s="46"/>
      <c r="DG1238" s="46"/>
      <c r="DH1238" s="46"/>
      <c r="DI1238" s="46"/>
      <c r="DJ1238" s="46"/>
      <c r="DK1238" s="46"/>
      <c r="DL1238" s="46"/>
      <c r="DM1238" s="46"/>
      <c r="DN1238" s="46"/>
      <c r="DO1238" s="46"/>
      <c r="DP1238" s="46"/>
      <c r="DQ1238" s="46"/>
      <c r="DR1238" s="46"/>
      <c r="DS1238" s="46"/>
      <c r="DT1238" s="46"/>
      <c r="DU1238" s="46"/>
      <c r="DV1238" s="46"/>
      <c r="DW1238" s="46"/>
      <c r="DX1238" s="46"/>
      <c r="DY1238" s="46"/>
      <c r="DZ1238" s="46"/>
      <c r="EA1238" s="46"/>
      <c r="EB1238" s="46"/>
      <c r="EC1238" s="46"/>
      <c r="ED1238" s="46"/>
      <c r="EE1238" s="46"/>
      <c r="EF1238" s="46"/>
      <c r="EG1238" s="46"/>
      <c r="EH1238" s="46"/>
      <c r="EI1238" s="46"/>
      <c r="EJ1238" s="46"/>
      <c r="EK1238" s="46"/>
      <c r="EL1238" s="46"/>
      <c r="EM1238" s="46"/>
      <c r="EN1238" s="46"/>
      <c r="EO1238" s="46"/>
      <c r="EP1238" s="46"/>
      <c r="EQ1238" s="46"/>
      <c r="ER1238" s="46"/>
      <c r="ES1238" s="46"/>
      <c r="ET1238" s="46"/>
      <c r="EU1238" s="46"/>
      <c r="EV1238" s="46"/>
      <c r="EW1238" s="46"/>
      <c r="EX1238" s="46"/>
      <c r="EY1238" s="46"/>
      <c r="EZ1238" s="46"/>
      <c r="FA1238" s="46"/>
      <c r="FB1238" s="46"/>
      <c r="FC1238" s="46"/>
      <c r="FD1238" s="46"/>
      <c r="FE1238" s="46"/>
      <c r="FF1238" s="46"/>
      <c r="FG1238" s="46"/>
      <c r="FH1238" s="46"/>
      <c r="FI1238" s="46"/>
      <c r="FJ1238" s="46"/>
      <c r="FK1238" s="46"/>
      <c r="FL1238" s="46"/>
      <c r="FM1238" s="46"/>
      <c r="FN1238" s="46"/>
      <c r="FO1238" s="46"/>
      <c r="FP1238" s="46"/>
      <c r="FQ1238" s="46"/>
      <c r="FR1238" s="46"/>
      <c r="FS1238" s="46"/>
      <c r="FT1238" s="46"/>
      <c r="FU1238" s="46"/>
      <c r="FV1238" s="46"/>
      <c r="FW1238" s="46"/>
      <c r="FX1238" s="46"/>
      <c r="FY1238" s="46"/>
      <c r="FZ1238" s="46"/>
      <c r="GA1238" s="46"/>
      <c r="GB1238" s="46"/>
      <c r="GC1238" s="46"/>
      <c r="GD1238" s="46"/>
      <c r="GE1238" s="46"/>
      <c r="GF1238" s="46"/>
      <c r="GG1238" s="46"/>
      <c r="GH1238" s="46"/>
      <c r="GI1238" s="46"/>
      <c r="GJ1238" s="46"/>
      <c r="GK1238" s="46"/>
      <c r="GL1238" s="46"/>
      <c r="GM1238" s="46"/>
      <c r="GN1238" s="46"/>
      <c r="GO1238" s="46"/>
      <c r="GP1238" s="46"/>
      <c r="GQ1238" s="46"/>
      <c r="GR1238" s="46"/>
      <c r="GS1238" s="46"/>
      <c r="GT1238" s="46"/>
      <c r="GU1238" s="46"/>
    </row>
    <row r="1239" spans="1:203" s="43" customFormat="1" ht="123.45" hidden="1" outlineLevel="1" x14ac:dyDescent="0.35">
      <c r="A1239" s="47"/>
      <c r="B1239" s="48" t="s">
        <v>581</v>
      </c>
      <c r="C1239" s="49" t="s">
        <v>58</v>
      </c>
      <c r="D1239" s="49">
        <v>1</v>
      </c>
      <c r="E1239" s="78"/>
      <c r="F1239" s="42"/>
      <c r="H1239" s="44"/>
      <c r="K1239" s="45"/>
      <c r="L1239" s="45"/>
      <c r="M1239" s="45"/>
      <c r="N1239" s="44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  <c r="CZ1239" s="46"/>
      <c r="DA1239" s="46"/>
      <c r="DB1239" s="46"/>
      <c r="DC1239" s="46"/>
      <c r="DD1239" s="46"/>
      <c r="DE1239" s="46"/>
      <c r="DF1239" s="46"/>
      <c r="DG1239" s="46"/>
      <c r="DH1239" s="46"/>
      <c r="DI1239" s="46"/>
      <c r="DJ1239" s="46"/>
      <c r="DK1239" s="46"/>
      <c r="DL1239" s="46"/>
      <c r="DM1239" s="46"/>
      <c r="DN1239" s="46"/>
      <c r="DO1239" s="46"/>
      <c r="DP1239" s="46"/>
      <c r="DQ1239" s="46"/>
      <c r="DR1239" s="46"/>
      <c r="DS1239" s="46"/>
      <c r="DT1239" s="46"/>
      <c r="DU1239" s="46"/>
      <c r="DV1239" s="46"/>
      <c r="DW1239" s="46"/>
      <c r="DX1239" s="46"/>
      <c r="DY1239" s="46"/>
      <c r="DZ1239" s="46"/>
      <c r="EA1239" s="46"/>
      <c r="EB1239" s="46"/>
      <c r="EC1239" s="46"/>
      <c r="ED1239" s="46"/>
      <c r="EE1239" s="46"/>
      <c r="EF1239" s="46"/>
      <c r="EG1239" s="46"/>
      <c r="EH1239" s="46"/>
      <c r="EI1239" s="46"/>
      <c r="EJ1239" s="46"/>
      <c r="EK1239" s="46"/>
      <c r="EL1239" s="46"/>
      <c r="EM1239" s="46"/>
      <c r="EN1239" s="46"/>
      <c r="EO1239" s="46"/>
      <c r="EP1239" s="46"/>
      <c r="EQ1239" s="46"/>
      <c r="ER1239" s="46"/>
      <c r="ES1239" s="46"/>
      <c r="ET1239" s="46"/>
      <c r="EU1239" s="46"/>
      <c r="EV1239" s="46"/>
      <c r="EW1239" s="46"/>
      <c r="EX1239" s="46"/>
      <c r="EY1239" s="46"/>
      <c r="EZ1239" s="46"/>
      <c r="FA1239" s="46"/>
      <c r="FB1239" s="46"/>
      <c r="FC1239" s="46"/>
      <c r="FD1239" s="46"/>
      <c r="FE1239" s="46"/>
      <c r="FF1239" s="46"/>
      <c r="FG1239" s="46"/>
      <c r="FH1239" s="46"/>
      <c r="FI1239" s="46"/>
      <c r="FJ1239" s="46"/>
      <c r="FK1239" s="46"/>
      <c r="FL1239" s="46"/>
      <c r="FM1239" s="46"/>
      <c r="FN1239" s="46"/>
      <c r="FO1239" s="46"/>
      <c r="FP1239" s="46"/>
      <c r="FQ1239" s="46"/>
      <c r="FR1239" s="46"/>
      <c r="FS1239" s="46"/>
      <c r="FT1239" s="46"/>
      <c r="FU1239" s="46"/>
      <c r="FV1239" s="46"/>
      <c r="FW1239" s="46"/>
      <c r="FX1239" s="46"/>
      <c r="FY1239" s="46"/>
      <c r="FZ1239" s="46"/>
      <c r="GA1239" s="46"/>
      <c r="GB1239" s="46"/>
      <c r="GC1239" s="46"/>
      <c r="GD1239" s="46"/>
      <c r="GE1239" s="46"/>
      <c r="GF1239" s="46"/>
      <c r="GG1239" s="46"/>
      <c r="GH1239" s="46"/>
      <c r="GI1239" s="46"/>
      <c r="GJ1239" s="46"/>
      <c r="GK1239" s="46"/>
      <c r="GL1239" s="46"/>
      <c r="GM1239" s="46"/>
      <c r="GN1239" s="46"/>
      <c r="GO1239" s="46"/>
      <c r="GP1239" s="46"/>
      <c r="GQ1239" s="46"/>
      <c r="GR1239" s="46"/>
      <c r="GS1239" s="46"/>
      <c r="GT1239" s="46"/>
      <c r="GU1239" s="46"/>
    </row>
    <row r="1240" spans="1:203" s="43" customFormat="1" ht="31" customHeight="1" collapsed="1" x14ac:dyDescent="0.35">
      <c r="A1240" s="24">
        <f>A1238+1</f>
        <v>527</v>
      </c>
      <c r="B1240" s="25" t="s">
        <v>659</v>
      </c>
      <c r="C1240" s="89" t="s">
        <v>58</v>
      </c>
      <c r="D1240" s="26">
        <v>3</v>
      </c>
      <c r="E1240" s="41"/>
      <c r="F1240" s="42"/>
      <c r="H1240" s="44"/>
      <c r="K1240" s="45"/>
      <c r="L1240" s="45"/>
      <c r="M1240" s="45"/>
      <c r="N1240" s="44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  <c r="CZ1240" s="46"/>
      <c r="DA1240" s="46"/>
      <c r="DB1240" s="46"/>
      <c r="DC1240" s="46"/>
      <c r="DD1240" s="46"/>
      <c r="DE1240" s="46"/>
      <c r="DF1240" s="46"/>
      <c r="DG1240" s="46"/>
      <c r="DH1240" s="46"/>
      <c r="DI1240" s="46"/>
      <c r="DJ1240" s="46"/>
      <c r="DK1240" s="46"/>
      <c r="DL1240" s="46"/>
      <c r="DM1240" s="46"/>
      <c r="DN1240" s="46"/>
      <c r="DO1240" s="46"/>
      <c r="DP1240" s="46"/>
      <c r="DQ1240" s="46"/>
      <c r="DR1240" s="46"/>
      <c r="DS1240" s="46"/>
      <c r="DT1240" s="46"/>
      <c r="DU1240" s="46"/>
      <c r="DV1240" s="46"/>
      <c r="DW1240" s="46"/>
      <c r="DX1240" s="46"/>
      <c r="DY1240" s="46"/>
      <c r="DZ1240" s="46"/>
      <c r="EA1240" s="46"/>
      <c r="EB1240" s="46"/>
      <c r="EC1240" s="46"/>
      <c r="ED1240" s="46"/>
      <c r="EE1240" s="46"/>
      <c r="EF1240" s="46"/>
      <c r="EG1240" s="46"/>
      <c r="EH1240" s="46"/>
      <c r="EI1240" s="46"/>
      <c r="EJ1240" s="46"/>
      <c r="EK1240" s="46"/>
      <c r="EL1240" s="46"/>
      <c r="EM1240" s="46"/>
      <c r="EN1240" s="46"/>
      <c r="EO1240" s="46"/>
      <c r="EP1240" s="46"/>
      <c r="EQ1240" s="46"/>
      <c r="ER1240" s="46"/>
      <c r="ES1240" s="46"/>
      <c r="ET1240" s="46"/>
      <c r="EU1240" s="46"/>
      <c r="EV1240" s="46"/>
      <c r="EW1240" s="46"/>
      <c r="EX1240" s="46"/>
      <c r="EY1240" s="46"/>
      <c r="EZ1240" s="46"/>
      <c r="FA1240" s="46"/>
      <c r="FB1240" s="46"/>
      <c r="FC1240" s="46"/>
      <c r="FD1240" s="46"/>
      <c r="FE1240" s="46"/>
      <c r="FF1240" s="46"/>
      <c r="FG1240" s="46"/>
      <c r="FH1240" s="46"/>
      <c r="FI1240" s="46"/>
      <c r="FJ1240" s="46"/>
      <c r="FK1240" s="46"/>
      <c r="FL1240" s="46"/>
      <c r="FM1240" s="46"/>
      <c r="FN1240" s="46"/>
      <c r="FO1240" s="46"/>
      <c r="FP1240" s="46"/>
      <c r="FQ1240" s="46"/>
      <c r="FR1240" s="46"/>
      <c r="FS1240" s="46"/>
      <c r="FT1240" s="46"/>
      <c r="FU1240" s="46"/>
      <c r="FV1240" s="46"/>
      <c r="FW1240" s="46"/>
      <c r="FX1240" s="46"/>
      <c r="FY1240" s="46"/>
      <c r="FZ1240" s="46"/>
      <c r="GA1240" s="46"/>
      <c r="GB1240" s="46"/>
      <c r="GC1240" s="46"/>
      <c r="GD1240" s="46"/>
      <c r="GE1240" s="46"/>
      <c r="GF1240" s="46"/>
      <c r="GG1240" s="46"/>
      <c r="GH1240" s="46"/>
      <c r="GI1240" s="46"/>
      <c r="GJ1240" s="46"/>
      <c r="GK1240" s="46"/>
      <c r="GL1240" s="46"/>
      <c r="GM1240" s="46"/>
      <c r="GN1240" s="46"/>
      <c r="GO1240" s="46"/>
      <c r="GP1240" s="46"/>
      <c r="GQ1240" s="46"/>
      <c r="GR1240" s="46"/>
      <c r="GS1240" s="46"/>
      <c r="GT1240" s="46"/>
      <c r="GU1240" s="46"/>
    </row>
    <row r="1241" spans="1:203" s="43" customFormat="1" ht="77.150000000000006" hidden="1" outlineLevel="1" x14ac:dyDescent="0.35">
      <c r="A1241" s="47"/>
      <c r="B1241" s="48" t="s">
        <v>660</v>
      </c>
      <c r="C1241" s="49" t="s">
        <v>58</v>
      </c>
      <c r="D1241" s="49">
        <v>1</v>
      </c>
      <c r="E1241" s="78"/>
      <c r="F1241" s="42"/>
      <c r="H1241" s="44"/>
      <c r="K1241" s="45"/>
      <c r="L1241" s="45"/>
      <c r="M1241" s="45"/>
      <c r="N1241" s="44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  <c r="CZ1241" s="46"/>
      <c r="DA1241" s="46"/>
      <c r="DB1241" s="46"/>
      <c r="DC1241" s="46"/>
      <c r="DD1241" s="46"/>
      <c r="DE1241" s="46"/>
      <c r="DF1241" s="46"/>
      <c r="DG1241" s="46"/>
      <c r="DH1241" s="46"/>
      <c r="DI1241" s="46"/>
      <c r="DJ1241" s="46"/>
      <c r="DK1241" s="46"/>
      <c r="DL1241" s="46"/>
      <c r="DM1241" s="46"/>
      <c r="DN1241" s="46"/>
      <c r="DO1241" s="46"/>
      <c r="DP1241" s="46"/>
      <c r="DQ1241" s="46"/>
      <c r="DR1241" s="46"/>
      <c r="DS1241" s="46"/>
      <c r="DT1241" s="46"/>
      <c r="DU1241" s="46"/>
      <c r="DV1241" s="46"/>
      <c r="DW1241" s="46"/>
      <c r="DX1241" s="46"/>
      <c r="DY1241" s="46"/>
      <c r="DZ1241" s="46"/>
      <c r="EA1241" s="46"/>
      <c r="EB1241" s="46"/>
      <c r="EC1241" s="46"/>
      <c r="ED1241" s="46"/>
      <c r="EE1241" s="46"/>
      <c r="EF1241" s="46"/>
      <c r="EG1241" s="46"/>
      <c r="EH1241" s="46"/>
      <c r="EI1241" s="46"/>
      <c r="EJ1241" s="46"/>
      <c r="EK1241" s="46"/>
      <c r="EL1241" s="46"/>
      <c r="EM1241" s="46"/>
      <c r="EN1241" s="46"/>
      <c r="EO1241" s="46"/>
      <c r="EP1241" s="46"/>
      <c r="EQ1241" s="46"/>
      <c r="ER1241" s="46"/>
      <c r="ES1241" s="46"/>
      <c r="ET1241" s="46"/>
      <c r="EU1241" s="46"/>
      <c r="EV1241" s="46"/>
      <c r="EW1241" s="46"/>
      <c r="EX1241" s="46"/>
      <c r="EY1241" s="46"/>
      <c r="EZ1241" s="46"/>
      <c r="FA1241" s="46"/>
      <c r="FB1241" s="46"/>
      <c r="FC1241" s="46"/>
      <c r="FD1241" s="46"/>
      <c r="FE1241" s="46"/>
      <c r="FF1241" s="46"/>
      <c r="FG1241" s="46"/>
      <c r="FH1241" s="46"/>
      <c r="FI1241" s="46"/>
      <c r="FJ1241" s="46"/>
      <c r="FK1241" s="46"/>
      <c r="FL1241" s="46"/>
      <c r="FM1241" s="46"/>
      <c r="FN1241" s="46"/>
      <c r="FO1241" s="46"/>
      <c r="FP1241" s="46"/>
      <c r="FQ1241" s="46"/>
      <c r="FR1241" s="46"/>
      <c r="FS1241" s="46"/>
      <c r="FT1241" s="46"/>
      <c r="FU1241" s="46"/>
      <c r="FV1241" s="46"/>
      <c r="FW1241" s="46"/>
      <c r="FX1241" s="46"/>
      <c r="FY1241" s="46"/>
      <c r="FZ1241" s="46"/>
      <c r="GA1241" s="46"/>
      <c r="GB1241" s="46"/>
      <c r="GC1241" s="46"/>
      <c r="GD1241" s="46"/>
      <c r="GE1241" s="46"/>
      <c r="GF1241" s="46"/>
      <c r="GG1241" s="46"/>
      <c r="GH1241" s="46"/>
      <c r="GI1241" s="46"/>
      <c r="GJ1241" s="46"/>
      <c r="GK1241" s="46"/>
      <c r="GL1241" s="46"/>
      <c r="GM1241" s="46"/>
      <c r="GN1241" s="46"/>
      <c r="GO1241" s="46"/>
      <c r="GP1241" s="46"/>
      <c r="GQ1241" s="46"/>
      <c r="GR1241" s="46"/>
      <c r="GS1241" s="46"/>
      <c r="GT1241" s="46"/>
      <c r="GU1241" s="46"/>
    </row>
    <row r="1242" spans="1:203" s="43" customFormat="1" ht="77.150000000000006" hidden="1" outlineLevel="1" x14ac:dyDescent="0.35">
      <c r="A1242" s="47"/>
      <c r="B1242" s="48" t="s">
        <v>661</v>
      </c>
      <c r="C1242" s="49" t="s">
        <v>58</v>
      </c>
      <c r="D1242" s="49">
        <v>1</v>
      </c>
      <c r="E1242" s="78"/>
      <c r="F1242" s="42"/>
      <c r="H1242" s="44"/>
      <c r="K1242" s="45"/>
      <c r="L1242" s="45"/>
      <c r="M1242" s="45"/>
      <c r="N1242" s="44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  <c r="CZ1242" s="46"/>
      <c r="DA1242" s="46"/>
      <c r="DB1242" s="46"/>
      <c r="DC1242" s="46"/>
      <c r="DD1242" s="46"/>
      <c r="DE1242" s="46"/>
      <c r="DF1242" s="46"/>
      <c r="DG1242" s="46"/>
      <c r="DH1242" s="46"/>
      <c r="DI1242" s="46"/>
      <c r="DJ1242" s="46"/>
      <c r="DK1242" s="46"/>
      <c r="DL1242" s="46"/>
      <c r="DM1242" s="46"/>
      <c r="DN1242" s="46"/>
      <c r="DO1242" s="46"/>
      <c r="DP1242" s="46"/>
      <c r="DQ1242" s="46"/>
      <c r="DR1242" s="46"/>
      <c r="DS1242" s="46"/>
      <c r="DT1242" s="46"/>
      <c r="DU1242" s="46"/>
      <c r="DV1242" s="46"/>
      <c r="DW1242" s="46"/>
      <c r="DX1242" s="46"/>
      <c r="DY1242" s="46"/>
      <c r="DZ1242" s="46"/>
      <c r="EA1242" s="46"/>
      <c r="EB1242" s="46"/>
      <c r="EC1242" s="46"/>
      <c r="ED1242" s="46"/>
      <c r="EE1242" s="46"/>
      <c r="EF1242" s="46"/>
      <c r="EG1242" s="46"/>
      <c r="EH1242" s="46"/>
      <c r="EI1242" s="46"/>
      <c r="EJ1242" s="46"/>
      <c r="EK1242" s="46"/>
      <c r="EL1242" s="46"/>
      <c r="EM1242" s="46"/>
      <c r="EN1242" s="46"/>
      <c r="EO1242" s="46"/>
      <c r="EP1242" s="46"/>
      <c r="EQ1242" s="46"/>
      <c r="ER1242" s="46"/>
      <c r="ES1242" s="46"/>
      <c r="ET1242" s="46"/>
      <c r="EU1242" s="46"/>
      <c r="EV1242" s="46"/>
      <c r="EW1242" s="46"/>
      <c r="EX1242" s="46"/>
      <c r="EY1242" s="46"/>
      <c r="EZ1242" s="46"/>
      <c r="FA1242" s="46"/>
      <c r="FB1242" s="46"/>
      <c r="FC1242" s="46"/>
      <c r="FD1242" s="46"/>
      <c r="FE1242" s="46"/>
      <c r="FF1242" s="46"/>
      <c r="FG1242" s="46"/>
      <c r="FH1242" s="46"/>
      <c r="FI1242" s="46"/>
      <c r="FJ1242" s="46"/>
      <c r="FK1242" s="46"/>
      <c r="FL1242" s="46"/>
      <c r="FM1242" s="46"/>
      <c r="FN1242" s="46"/>
      <c r="FO1242" s="46"/>
      <c r="FP1242" s="46"/>
      <c r="FQ1242" s="46"/>
      <c r="FR1242" s="46"/>
      <c r="FS1242" s="46"/>
      <c r="FT1242" s="46"/>
      <c r="FU1242" s="46"/>
      <c r="FV1242" s="46"/>
      <c r="FW1242" s="46"/>
      <c r="FX1242" s="46"/>
      <c r="FY1242" s="46"/>
      <c r="FZ1242" s="46"/>
      <c r="GA1242" s="46"/>
      <c r="GB1242" s="46"/>
      <c r="GC1242" s="46"/>
      <c r="GD1242" s="46"/>
      <c r="GE1242" s="46"/>
      <c r="GF1242" s="46"/>
      <c r="GG1242" s="46"/>
      <c r="GH1242" s="46"/>
      <c r="GI1242" s="46"/>
      <c r="GJ1242" s="46"/>
      <c r="GK1242" s="46"/>
      <c r="GL1242" s="46"/>
      <c r="GM1242" s="46"/>
      <c r="GN1242" s="46"/>
      <c r="GO1242" s="46"/>
      <c r="GP1242" s="46"/>
      <c r="GQ1242" s="46"/>
      <c r="GR1242" s="46"/>
      <c r="GS1242" s="46"/>
      <c r="GT1242" s="46"/>
      <c r="GU1242" s="46"/>
    </row>
    <row r="1243" spans="1:203" s="43" customFormat="1" ht="77.150000000000006" hidden="1" outlineLevel="1" x14ac:dyDescent="0.35">
      <c r="A1243" s="47"/>
      <c r="B1243" s="48" t="s">
        <v>662</v>
      </c>
      <c r="C1243" s="49" t="s">
        <v>58</v>
      </c>
      <c r="D1243" s="49">
        <v>1</v>
      </c>
      <c r="E1243" s="78"/>
      <c r="F1243" s="42"/>
      <c r="H1243" s="44"/>
      <c r="K1243" s="45"/>
      <c r="L1243" s="45"/>
      <c r="M1243" s="45"/>
      <c r="N1243" s="44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  <c r="BP1243" s="46"/>
      <c r="BQ1243" s="46"/>
      <c r="BR1243" s="46"/>
      <c r="BS1243" s="46"/>
      <c r="BT1243" s="46"/>
      <c r="BU1243" s="46"/>
      <c r="BV1243" s="46"/>
      <c r="BW1243" s="46"/>
      <c r="BX1243" s="46"/>
      <c r="BY1243" s="46"/>
      <c r="BZ1243" s="46"/>
      <c r="CA1243" s="46"/>
      <c r="CB1243" s="46"/>
      <c r="CC1243" s="46"/>
      <c r="CD1243" s="46"/>
      <c r="CE1243" s="46"/>
      <c r="CF1243" s="46"/>
      <c r="CG1243" s="46"/>
      <c r="CH1243" s="46"/>
      <c r="CI1243" s="46"/>
      <c r="CJ1243" s="46"/>
      <c r="CK1243" s="46"/>
      <c r="CL1243" s="46"/>
      <c r="CM1243" s="46"/>
      <c r="CN1243" s="46"/>
      <c r="CO1243" s="46"/>
      <c r="CP1243" s="46"/>
      <c r="CQ1243" s="46"/>
      <c r="CR1243" s="46"/>
      <c r="CS1243" s="46"/>
      <c r="CT1243" s="46"/>
      <c r="CU1243" s="46"/>
      <c r="CV1243" s="46"/>
      <c r="CW1243" s="46"/>
      <c r="CX1243" s="46"/>
      <c r="CY1243" s="46"/>
      <c r="CZ1243" s="46"/>
      <c r="DA1243" s="46"/>
      <c r="DB1243" s="46"/>
      <c r="DC1243" s="46"/>
      <c r="DD1243" s="46"/>
      <c r="DE1243" s="46"/>
      <c r="DF1243" s="46"/>
      <c r="DG1243" s="46"/>
      <c r="DH1243" s="46"/>
      <c r="DI1243" s="46"/>
      <c r="DJ1243" s="46"/>
      <c r="DK1243" s="46"/>
      <c r="DL1243" s="46"/>
      <c r="DM1243" s="46"/>
      <c r="DN1243" s="46"/>
      <c r="DO1243" s="46"/>
      <c r="DP1243" s="46"/>
      <c r="DQ1243" s="46"/>
      <c r="DR1243" s="46"/>
      <c r="DS1243" s="46"/>
      <c r="DT1243" s="46"/>
      <c r="DU1243" s="46"/>
      <c r="DV1243" s="46"/>
      <c r="DW1243" s="46"/>
      <c r="DX1243" s="46"/>
      <c r="DY1243" s="46"/>
      <c r="DZ1243" s="46"/>
      <c r="EA1243" s="46"/>
      <c r="EB1243" s="46"/>
      <c r="EC1243" s="46"/>
      <c r="ED1243" s="46"/>
      <c r="EE1243" s="46"/>
      <c r="EF1243" s="46"/>
      <c r="EG1243" s="46"/>
      <c r="EH1243" s="46"/>
      <c r="EI1243" s="46"/>
      <c r="EJ1243" s="46"/>
      <c r="EK1243" s="46"/>
      <c r="EL1243" s="46"/>
      <c r="EM1243" s="46"/>
      <c r="EN1243" s="46"/>
      <c r="EO1243" s="46"/>
      <c r="EP1243" s="46"/>
      <c r="EQ1243" s="46"/>
      <c r="ER1243" s="46"/>
      <c r="ES1243" s="46"/>
      <c r="ET1243" s="46"/>
      <c r="EU1243" s="46"/>
      <c r="EV1243" s="46"/>
      <c r="EW1243" s="46"/>
      <c r="EX1243" s="46"/>
      <c r="EY1243" s="46"/>
      <c r="EZ1243" s="46"/>
      <c r="FA1243" s="46"/>
      <c r="FB1243" s="46"/>
      <c r="FC1243" s="46"/>
      <c r="FD1243" s="46"/>
      <c r="FE1243" s="46"/>
      <c r="FF1243" s="46"/>
      <c r="FG1243" s="46"/>
      <c r="FH1243" s="46"/>
      <c r="FI1243" s="46"/>
      <c r="FJ1243" s="46"/>
      <c r="FK1243" s="46"/>
      <c r="FL1243" s="46"/>
      <c r="FM1243" s="46"/>
      <c r="FN1243" s="46"/>
      <c r="FO1243" s="46"/>
      <c r="FP1243" s="46"/>
      <c r="FQ1243" s="46"/>
      <c r="FR1243" s="46"/>
      <c r="FS1243" s="46"/>
      <c r="FT1243" s="46"/>
      <c r="FU1243" s="46"/>
      <c r="FV1243" s="46"/>
      <c r="FW1243" s="46"/>
      <c r="FX1243" s="46"/>
      <c r="FY1243" s="46"/>
      <c r="FZ1243" s="46"/>
      <c r="GA1243" s="46"/>
      <c r="GB1243" s="46"/>
      <c r="GC1243" s="46"/>
      <c r="GD1243" s="46"/>
      <c r="GE1243" s="46"/>
      <c r="GF1243" s="46"/>
      <c r="GG1243" s="46"/>
      <c r="GH1243" s="46"/>
      <c r="GI1243" s="46"/>
      <c r="GJ1243" s="46"/>
      <c r="GK1243" s="46"/>
      <c r="GL1243" s="46"/>
      <c r="GM1243" s="46"/>
      <c r="GN1243" s="46"/>
      <c r="GO1243" s="46"/>
      <c r="GP1243" s="46"/>
      <c r="GQ1243" s="46"/>
      <c r="GR1243" s="46"/>
      <c r="GS1243" s="46"/>
      <c r="GT1243" s="46"/>
      <c r="GU1243" s="46"/>
    </row>
    <row r="1244" spans="1:203" s="43" customFormat="1" ht="77.150000000000006" hidden="1" outlineLevel="1" x14ac:dyDescent="0.35">
      <c r="A1244" s="47"/>
      <c r="B1244" s="48" t="s">
        <v>663</v>
      </c>
      <c r="C1244" s="49" t="s">
        <v>58</v>
      </c>
      <c r="D1244" s="49">
        <v>1</v>
      </c>
      <c r="E1244" s="78"/>
      <c r="F1244" s="42"/>
      <c r="H1244" s="44"/>
      <c r="K1244" s="45"/>
      <c r="L1244" s="45"/>
      <c r="M1244" s="45"/>
      <c r="N1244" s="44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  <c r="CZ1244" s="46"/>
      <c r="DA1244" s="46"/>
      <c r="DB1244" s="46"/>
      <c r="DC1244" s="46"/>
      <c r="DD1244" s="46"/>
      <c r="DE1244" s="46"/>
      <c r="DF1244" s="46"/>
      <c r="DG1244" s="46"/>
      <c r="DH1244" s="46"/>
      <c r="DI1244" s="46"/>
      <c r="DJ1244" s="46"/>
      <c r="DK1244" s="46"/>
      <c r="DL1244" s="46"/>
      <c r="DM1244" s="46"/>
      <c r="DN1244" s="46"/>
      <c r="DO1244" s="46"/>
      <c r="DP1244" s="46"/>
      <c r="DQ1244" s="46"/>
      <c r="DR1244" s="46"/>
      <c r="DS1244" s="46"/>
      <c r="DT1244" s="46"/>
      <c r="DU1244" s="46"/>
      <c r="DV1244" s="46"/>
      <c r="DW1244" s="46"/>
      <c r="DX1244" s="46"/>
      <c r="DY1244" s="46"/>
      <c r="DZ1244" s="46"/>
      <c r="EA1244" s="46"/>
      <c r="EB1244" s="46"/>
      <c r="EC1244" s="46"/>
      <c r="ED1244" s="46"/>
      <c r="EE1244" s="46"/>
      <c r="EF1244" s="46"/>
      <c r="EG1244" s="46"/>
      <c r="EH1244" s="46"/>
      <c r="EI1244" s="46"/>
      <c r="EJ1244" s="46"/>
      <c r="EK1244" s="46"/>
      <c r="EL1244" s="46"/>
      <c r="EM1244" s="46"/>
      <c r="EN1244" s="46"/>
      <c r="EO1244" s="46"/>
      <c r="EP1244" s="46"/>
      <c r="EQ1244" s="46"/>
      <c r="ER1244" s="46"/>
      <c r="ES1244" s="46"/>
      <c r="ET1244" s="46"/>
      <c r="EU1244" s="46"/>
      <c r="EV1244" s="46"/>
      <c r="EW1244" s="46"/>
      <c r="EX1244" s="46"/>
      <c r="EY1244" s="46"/>
      <c r="EZ1244" s="46"/>
      <c r="FA1244" s="46"/>
      <c r="FB1244" s="46"/>
      <c r="FC1244" s="46"/>
      <c r="FD1244" s="46"/>
      <c r="FE1244" s="46"/>
      <c r="FF1244" s="46"/>
      <c r="FG1244" s="46"/>
      <c r="FH1244" s="46"/>
      <c r="FI1244" s="46"/>
      <c r="FJ1244" s="46"/>
      <c r="FK1244" s="46"/>
      <c r="FL1244" s="46"/>
      <c r="FM1244" s="46"/>
      <c r="FN1244" s="46"/>
      <c r="FO1244" s="46"/>
      <c r="FP1244" s="46"/>
      <c r="FQ1244" s="46"/>
      <c r="FR1244" s="46"/>
      <c r="FS1244" s="46"/>
      <c r="FT1244" s="46"/>
      <c r="FU1244" s="46"/>
      <c r="FV1244" s="46"/>
      <c r="FW1244" s="46"/>
      <c r="FX1244" s="46"/>
      <c r="FY1244" s="46"/>
      <c r="FZ1244" s="46"/>
      <c r="GA1244" s="46"/>
      <c r="GB1244" s="46"/>
      <c r="GC1244" s="46"/>
      <c r="GD1244" s="46"/>
      <c r="GE1244" s="46"/>
      <c r="GF1244" s="46"/>
      <c r="GG1244" s="46"/>
      <c r="GH1244" s="46"/>
      <c r="GI1244" s="46"/>
      <c r="GJ1244" s="46"/>
      <c r="GK1244" s="46"/>
      <c r="GL1244" s="46"/>
      <c r="GM1244" s="46"/>
      <c r="GN1244" s="46"/>
      <c r="GO1244" s="46"/>
      <c r="GP1244" s="46"/>
      <c r="GQ1244" s="46"/>
      <c r="GR1244" s="46"/>
      <c r="GS1244" s="46"/>
      <c r="GT1244" s="46"/>
      <c r="GU1244" s="46"/>
    </row>
    <row r="1245" spans="1:203" s="58" customFormat="1" ht="30" customHeight="1" collapsed="1" x14ac:dyDescent="0.4">
      <c r="A1245" s="24">
        <f>A1240+1</f>
        <v>528</v>
      </c>
      <c r="B1245" s="25" t="s">
        <v>582</v>
      </c>
      <c r="C1245" s="89" t="s">
        <v>132</v>
      </c>
      <c r="D1245" s="90">
        <v>629</v>
      </c>
      <c r="E1245" s="91"/>
      <c r="F1245" s="57"/>
    </row>
    <row r="1246" spans="1:203" s="58" customFormat="1" ht="30" hidden="1" customHeight="1" outlineLevel="1" x14ac:dyDescent="0.4">
      <c r="A1246" s="87"/>
      <c r="B1246" s="48" t="s">
        <v>454</v>
      </c>
      <c r="C1246" s="75" t="s">
        <v>132</v>
      </c>
      <c r="D1246" s="74">
        <v>224</v>
      </c>
      <c r="E1246" s="88">
        <v>7.0000000000000007E-2</v>
      </c>
      <c r="F1246" s="57"/>
    </row>
    <row r="1247" spans="1:203" s="58" customFormat="1" ht="30" hidden="1" customHeight="1" outlineLevel="1" x14ac:dyDescent="0.4">
      <c r="A1247" s="87"/>
      <c r="B1247" s="48" t="s">
        <v>583</v>
      </c>
      <c r="C1247" s="75" t="s">
        <v>132</v>
      </c>
      <c r="D1247" s="74">
        <v>45</v>
      </c>
      <c r="E1247" s="88">
        <v>1.4E-2</v>
      </c>
      <c r="F1247" s="57"/>
    </row>
    <row r="1248" spans="1:203" s="58" customFormat="1" ht="30" hidden="1" customHeight="1" outlineLevel="1" x14ac:dyDescent="0.4">
      <c r="A1248" s="87"/>
      <c r="B1248" s="48" t="s">
        <v>584</v>
      </c>
      <c r="C1248" s="75" t="s">
        <v>132</v>
      </c>
      <c r="D1248" s="74">
        <v>360</v>
      </c>
      <c r="E1248" s="88">
        <v>0.112</v>
      </c>
      <c r="F1248" s="57"/>
    </row>
    <row r="1249" spans="1:15" s="58" customFormat="1" ht="30" hidden="1" customHeight="1" outlineLevel="1" x14ac:dyDescent="0.4">
      <c r="A1249" s="87"/>
      <c r="B1249" s="48" t="s">
        <v>441</v>
      </c>
      <c r="C1249" s="75" t="s">
        <v>58</v>
      </c>
      <c r="D1249" s="74">
        <v>44</v>
      </c>
      <c r="E1249" s="88"/>
      <c r="F1249" s="57"/>
    </row>
    <row r="1250" spans="1:15" s="58" customFormat="1" ht="30" customHeight="1" collapsed="1" x14ac:dyDescent="0.4">
      <c r="A1250" s="24">
        <f>A1245+1</f>
        <v>529</v>
      </c>
      <c r="B1250" s="25" t="s">
        <v>585</v>
      </c>
      <c r="C1250" s="89" t="s">
        <v>132</v>
      </c>
      <c r="D1250" s="90">
        <v>180</v>
      </c>
      <c r="E1250" s="91"/>
      <c r="F1250" s="57"/>
    </row>
    <row r="1251" spans="1:15" s="58" customFormat="1" ht="30" hidden="1" customHeight="1" outlineLevel="1" x14ac:dyDescent="0.4">
      <c r="A1251" s="87"/>
      <c r="B1251" s="48" t="s">
        <v>586</v>
      </c>
      <c r="C1251" s="75" t="s">
        <v>132</v>
      </c>
      <c r="D1251" s="74">
        <v>180</v>
      </c>
      <c r="E1251" s="88">
        <v>0.20200000000000001</v>
      </c>
      <c r="F1251" s="57"/>
    </row>
    <row r="1252" spans="1:15" s="58" customFormat="1" ht="30" hidden="1" customHeight="1" outlineLevel="1" x14ac:dyDescent="0.4">
      <c r="A1252" s="87"/>
      <c r="B1252" s="48" t="s">
        <v>441</v>
      </c>
      <c r="C1252" s="75" t="s">
        <v>58</v>
      </c>
      <c r="D1252" s="74">
        <v>2</v>
      </c>
      <c r="E1252" s="88"/>
      <c r="F1252" s="57"/>
    </row>
    <row r="1253" spans="1:15" s="58" customFormat="1" ht="30" customHeight="1" collapsed="1" x14ac:dyDescent="0.4">
      <c r="A1253" s="24">
        <f>A1250+1</f>
        <v>530</v>
      </c>
      <c r="B1253" s="25" t="s">
        <v>316</v>
      </c>
      <c r="C1253" s="89" t="s">
        <v>132</v>
      </c>
      <c r="D1253" s="96">
        <v>30</v>
      </c>
      <c r="E1253" s="98"/>
      <c r="F1253" s="57"/>
      <c r="O1253" s="58" t="s">
        <v>442</v>
      </c>
    </row>
    <row r="1254" spans="1:15" s="58" customFormat="1" ht="30" hidden="1" customHeight="1" outlineLevel="1" x14ac:dyDescent="0.4">
      <c r="A1254" s="87"/>
      <c r="B1254" s="48" t="s">
        <v>317</v>
      </c>
      <c r="C1254" s="75" t="s">
        <v>132</v>
      </c>
      <c r="D1254" s="74">
        <v>30</v>
      </c>
      <c r="E1254" s="93"/>
      <c r="F1254" s="57"/>
    </row>
    <row r="1255" spans="1:15" s="58" customFormat="1" ht="30" customHeight="1" collapsed="1" x14ac:dyDescent="0.4">
      <c r="A1255" s="24">
        <f>A1253+1</f>
        <v>531</v>
      </c>
      <c r="B1255" s="25" t="s">
        <v>340</v>
      </c>
      <c r="C1255" s="89" t="s">
        <v>132</v>
      </c>
      <c r="D1255" s="90">
        <v>212</v>
      </c>
      <c r="E1255" s="99"/>
      <c r="F1255" s="57"/>
    </row>
    <row r="1256" spans="1:15" s="58" customFormat="1" ht="30" hidden="1" customHeight="1" outlineLevel="1" x14ac:dyDescent="0.4">
      <c r="A1256" s="87"/>
      <c r="B1256" s="48" t="s">
        <v>341</v>
      </c>
      <c r="C1256" s="75" t="s">
        <v>14</v>
      </c>
      <c r="D1256" s="77">
        <f>212*1.66/1000*1.1</f>
        <v>0.38711199999999996</v>
      </c>
      <c r="E1256" s="88">
        <v>0.38700000000000001</v>
      </c>
      <c r="F1256" s="57"/>
    </row>
    <row r="1257" spans="1:15" s="58" customFormat="1" ht="30" customHeight="1" collapsed="1" x14ac:dyDescent="0.4">
      <c r="A1257" s="24">
        <f>A1255+1</f>
        <v>532</v>
      </c>
      <c r="B1257" s="25" t="s">
        <v>284</v>
      </c>
      <c r="C1257" s="89" t="s">
        <v>132</v>
      </c>
      <c r="D1257" s="90">
        <v>63</v>
      </c>
      <c r="E1257" s="91"/>
      <c r="F1257" s="57"/>
    </row>
    <row r="1258" spans="1:15" s="58" customFormat="1" ht="30" hidden="1" customHeight="1" outlineLevel="1" x14ac:dyDescent="0.4">
      <c r="A1258" s="87"/>
      <c r="B1258" s="48" t="s">
        <v>342</v>
      </c>
      <c r="C1258" s="75" t="s">
        <v>132</v>
      </c>
      <c r="D1258" s="74">
        <v>45</v>
      </c>
      <c r="E1258" s="88"/>
      <c r="F1258" s="57"/>
    </row>
    <row r="1259" spans="1:15" s="58" customFormat="1" ht="30" hidden="1" customHeight="1" outlineLevel="1" x14ac:dyDescent="0.4">
      <c r="A1259" s="87"/>
      <c r="B1259" s="48" t="s">
        <v>587</v>
      </c>
      <c r="C1259" s="75" t="s">
        <v>132</v>
      </c>
      <c r="D1259" s="74">
        <v>15</v>
      </c>
      <c r="E1259" s="88"/>
      <c r="F1259" s="57"/>
    </row>
    <row r="1260" spans="1:15" s="58" customFormat="1" ht="30" hidden="1" customHeight="1" outlineLevel="1" x14ac:dyDescent="0.4">
      <c r="A1260" s="87"/>
      <c r="B1260" s="48" t="s">
        <v>285</v>
      </c>
      <c r="C1260" s="75" t="s">
        <v>132</v>
      </c>
      <c r="D1260" s="74">
        <v>3</v>
      </c>
      <c r="E1260" s="88"/>
      <c r="F1260" s="57"/>
    </row>
    <row r="1261" spans="1:15" s="58" customFormat="1" ht="30" hidden="1" customHeight="1" outlineLevel="1" x14ac:dyDescent="0.4">
      <c r="A1261" s="87"/>
      <c r="B1261" s="48" t="s">
        <v>343</v>
      </c>
      <c r="C1261" s="75" t="s">
        <v>132</v>
      </c>
      <c r="D1261" s="74">
        <v>30</v>
      </c>
      <c r="E1261" s="88"/>
      <c r="F1261" s="57"/>
    </row>
    <row r="1262" spans="1:15" s="58" customFormat="1" ht="30" hidden="1" customHeight="1" outlineLevel="1" x14ac:dyDescent="0.4">
      <c r="A1262" s="87"/>
      <c r="B1262" s="48" t="s">
        <v>348</v>
      </c>
      <c r="C1262" s="75" t="s">
        <v>349</v>
      </c>
      <c r="D1262" s="74">
        <v>1</v>
      </c>
      <c r="E1262" s="88"/>
      <c r="F1262" s="57"/>
    </row>
    <row r="1263" spans="1:15" s="58" customFormat="1" ht="30" customHeight="1" collapsed="1" x14ac:dyDescent="0.4">
      <c r="A1263" s="24">
        <f>A1257+1</f>
        <v>533</v>
      </c>
      <c r="B1263" s="25" t="s">
        <v>588</v>
      </c>
      <c r="C1263" s="89" t="s">
        <v>58</v>
      </c>
      <c r="D1263" s="90">
        <v>3</v>
      </c>
      <c r="E1263" s="99"/>
      <c r="F1263" s="57"/>
    </row>
    <row r="1264" spans="1:15" s="58" customFormat="1" ht="30.9" hidden="1" outlineLevel="1" x14ac:dyDescent="0.4">
      <c r="A1264" s="87"/>
      <c r="B1264" s="48" t="s">
        <v>589</v>
      </c>
      <c r="C1264" s="75" t="s">
        <v>58</v>
      </c>
      <c r="D1264" s="74">
        <v>1</v>
      </c>
      <c r="E1264" s="88"/>
      <c r="F1264" s="57"/>
    </row>
    <row r="1265" spans="1:28" s="58" customFormat="1" ht="30.9" hidden="1" outlineLevel="1" x14ac:dyDescent="0.4">
      <c r="A1265" s="87"/>
      <c r="B1265" s="48" t="s">
        <v>664</v>
      </c>
      <c r="C1265" s="75" t="s">
        <v>58</v>
      </c>
      <c r="D1265" s="74">
        <v>1</v>
      </c>
      <c r="E1265" s="88"/>
      <c r="F1265" s="57"/>
    </row>
    <row r="1266" spans="1:28" s="58" customFormat="1" ht="30.9" hidden="1" outlineLevel="1" x14ac:dyDescent="0.4">
      <c r="A1266" s="87"/>
      <c r="B1266" s="48" t="s">
        <v>665</v>
      </c>
      <c r="C1266" s="75" t="s">
        <v>58</v>
      </c>
      <c r="D1266" s="74">
        <v>1</v>
      </c>
      <c r="E1266" s="88"/>
      <c r="F1266" s="57"/>
    </row>
    <row r="1267" spans="1:28" ht="31" customHeight="1" collapsed="1" x14ac:dyDescent="0.35">
      <c r="A1267" s="24">
        <f>A1263+1</f>
        <v>534</v>
      </c>
      <c r="B1267" s="25" t="s">
        <v>592</v>
      </c>
      <c r="C1267" s="89" t="s">
        <v>58</v>
      </c>
      <c r="D1267" s="26">
        <v>4</v>
      </c>
      <c r="E1267" s="41"/>
      <c r="F1267" s="42"/>
    </row>
    <row r="1268" spans="1:28" ht="30" hidden="1" customHeight="1" outlineLevel="1" x14ac:dyDescent="0.35">
      <c r="A1268" s="47"/>
      <c r="B1268" s="48" t="s">
        <v>593</v>
      </c>
      <c r="C1268" s="49" t="s">
        <v>58</v>
      </c>
      <c r="D1268" s="49">
        <v>5</v>
      </c>
      <c r="E1268" s="78"/>
      <c r="F1268" s="42"/>
    </row>
    <row r="1269" spans="1:28" ht="30" hidden="1" customHeight="1" outlineLevel="1" x14ac:dyDescent="0.35">
      <c r="A1269" s="47"/>
      <c r="B1269" s="48" t="s">
        <v>594</v>
      </c>
      <c r="C1269" s="49" t="s">
        <v>58</v>
      </c>
      <c r="D1269" s="49">
        <v>4</v>
      </c>
      <c r="E1269" s="78"/>
      <c r="F1269" s="42"/>
    </row>
    <row r="1270" spans="1:28" s="58" customFormat="1" ht="30" customHeight="1" collapsed="1" x14ac:dyDescent="0.4">
      <c r="A1270" s="24">
        <f>A1267+1</f>
        <v>535</v>
      </c>
      <c r="B1270" s="71" t="s">
        <v>315</v>
      </c>
      <c r="C1270" s="40" t="s">
        <v>132</v>
      </c>
      <c r="D1270" s="82">
        <v>8</v>
      </c>
      <c r="E1270" s="66"/>
      <c r="F1270" s="57"/>
    </row>
    <row r="1271" spans="1:28" s="58" customFormat="1" ht="30" hidden="1" customHeight="1" outlineLevel="1" x14ac:dyDescent="0.4">
      <c r="A1271" s="87"/>
      <c r="B1271" s="48" t="s">
        <v>314</v>
      </c>
      <c r="C1271" s="75" t="s">
        <v>14</v>
      </c>
      <c r="D1271" s="65">
        <f>8*1.26/1000</f>
        <v>1.008E-2</v>
      </c>
      <c r="E1271" s="88">
        <v>0.01</v>
      </c>
      <c r="F1271" s="57"/>
    </row>
    <row r="1272" spans="1:28" ht="31" customHeight="1" collapsed="1" x14ac:dyDescent="0.35">
      <c r="A1272" s="24">
        <f>A1270+1</f>
        <v>536</v>
      </c>
      <c r="B1272" s="25" t="s">
        <v>595</v>
      </c>
      <c r="C1272" s="89" t="s">
        <v>58</v>
      </c>
      <c r="D1272" s="26">
        <v>5</v>
      </c>
      <c r="E1272" s="41"/>
      <c r="F1272" s="42"/>
    </row>
    <row r="1273" spans="1:28" ht="30" hidden="1" customHeight="1" outlineLevel="1" x14ac:dyDescent="0.35">
      <c r="A1273" s="47"/>
      <c r="B1273" s="48" t="s">
        <v>596</v>
      </c>
      <c r="C1273" s="49" t="s">
        <v>58</v>
      </c>
      <c r="D1273" s="49">
        <v>3</v>
      </c>
      <c r="E1273" s="78"/>
      <c r="F1273" s="42"/>
    </row>
    <row r="1274" spans="1:28" ht="30" hidden="1" customHeight="1" outlineLevel="1" x14ac:dyDescent="0.35">
      <c r="A1274" s="47"/>
      <c r="B1274" s="48" t="s">
        <v>597</v>
      </c>
      <c r="C1274" s="49" t="s">
        <v>58</v>
      </c>
      <c r="D1274" s="49">
        <v>2</v>
      </c>
      <c r="E1274" s="78"/>
      <c r="F1274" s="42"/>
    </row>
    <row r="1275" spans="1:28" s="39" customFormat="1" ht="30" customHeight="1" collapsed="1" x14ac:dyDescent="0.35">
      <c r="A1275" s="153" t="s">
        <v>666</v>
      </c>
      <c r="B1275" s="153"/>
      <c r="C1275" s="153"/>
      <c r="D1275" s="153"/>
      <c r="E1275" s="153"/>
      <c r="F1275" s="34"/>
      <c r="G1275" s="35"/>
      <c r="H1275" s="36"/>
      <c r="I1275" s="37"/>
      <c r="J1275" s="37"/>
      <c r="K1275" s="38"/>
      <c r="L1275" s="38"/>
      <c r="M1275" s="38"/>
      <c r="N1275" s="36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</row>
    <row r="1276" spans="1:28" s="39" customFormat="1" ht="21" customHeight="1" x14ac:dyDescent="0.35">
      <c r="A1276" s="158" t="s">
        <v>667</v>
      </c>
      <c r="B1276" s="158"/>
      <c r="C1276" s="158"/>
      <c r="D1276" s="158"/>
      <c r="E1276" s="158"/>
      <c r="F1276" s="34"/>
      <c r="G1276" s="35"/>
      <c r="H1276" s="36"/>
      <c r="I1276" s="37"/>
      <c r="J1276" s="37"/>
      <c r="K1276" s="38"/>
      <c r="L1276" s="38"/>
      <c r="M1276" s="38"/>
      <c r="N1276" s="36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</row>
    <row r="1277" spans="1:28" ht="30" customHeight="1" x14ac:dyDescent="0.35">
      <c r="A1277" s="24">
        <f>A1272+1</f>
        <v>537</v>
      </c>
      <c r="B1277" s="25" t="s">
        <v>131</v>
      </c>
      <c r="C1277" s="26" t="s">
        <v>132</v>
      </c>
      <c r="D1277" s="73">
        <v>52</v>
      </c>
      <c r="E1277" s="41"/>
      <c r="F1277" s="42"/>
    </row>
    <row r="1278" spans="1:28" ht="31" hidden="1" customHeight="1" outlineLevel="1" x14ac:dyDescent="0.35">
      <c r="A1278" s="47"/>
      <c r="B1278" s="48" t="s">
        <v>133</v>
      </c>
      <c r="C1278" s="49" t="s">
        <v>58</v>
      </c>
      <c r="D1278" s="55">
        <v>52</v>
      </c>
      <c r="E1278" s="56">
        <v>5.2</v>
      </c>
      <c r="F1278" s="42"/>
    </row>
    <row r="1279" spans="1:28" ht="31" hidden="1" customHeight="1" outlineLevel="1" x14ac:dyDescent="0.35">
      <c r="A1279" s="74"/>
      <c r="B1279" s="48" t="s">
        <v>134</v>
      </c>
      <c r="C1279" s="49" t="s">
        <v>19</v>
      </c>
      <c r="D1279" s="68">
        <f>2.84</f>
        <v>2.84</v>
      </c>
      <c r="E1279" s="69"/>
      <c r="F1279" s="42"/>
    </row>
    <row r="1280" spans="1:28" ht="30" customHeight="1" collapsed="1" x14ac:dyDescent="0.35">
      <c r="A1280" s="24">
        <f>A1277+1</f>
        <v>538</v>
      </c>
      <c r="B1280" s="25" t="s">
        <v>51</v>
      </c>
      <c r="C1280" s="26" t="s">
        <v>19</v>
      </c>
      <c r="D1280" s="40">
        <v>39</v>
      </c>
      <c r="E1280" s="41"/>
      <c r="F1280" s="42"/>
    </row>
    <row r="1281" spans="1:28" ht="31" hidden="1" customHeight="1" outlineLevel="1" x14ac:dyDescent="0.35">
      <c r="A1281" s="47"/>
      <c r="B1281" s="48" t="s">
        <v>52</v>
      </c>
      <c r="C1281" s="49" t="s">
        <v>19</v>
      </c>
      <c r="D1281" s="50">
        <f>39</f>
        <v>39</v>
      </c>
      <c r="E1281" s="51"/>
      <c r="F1281" s="42"/>
    </row>
    <row r="1282" spans="1:28" s="58" customFormat="1" ht="30" customHeight="1" collapsed="1" x14ac:dyDescent="0.4">
      <c r="A1282" s="24">
        <f>A1280+1</f>
        <v>539</v>
      </c>
      <c r="B1282" s="83" t="s">
        <v>389</v>
      </c>
      <c r="C1282" s="84" t="s">
        <v>19</v>
      </c>
      <c r="D1282" s="85">
        <v>77.2</v>
      </c>
      <c r="E1282" s="66"/>
      <c r="F1282" s="57"/>
    </row>
    <row r="1283" spans="1:28" s="58" customFormat="1" ht="30" hidden="1" customHeight="1" outlineLevel="1" x14ac:dyDescent="0.4">
      <c r="A1283" s="54"/>
      <c r="B1283" s="48" t="s">
        <v>461</v>
      </c>
      <c r="C1283" s="49" t="s">
        <v>14</v>
      </c>
      <c r="D1283" s="65">
        <f>5*87.79/1000</f>
        <v>0.43895000000000006</v>
      </c>
      <c r="E1283" s="51">
        <f>5*87.79/1000</f>
        <v>0.43895000000000006</v>
      </c>
      <c r="F1283" s="57"/>
    </row>
    <row r="1284" spans="1:28" ht="31" hidden="1" customHeight="1" outlineLevel="1" x14ac:dyDescent="0.35">
      <c r="A1284" s="74"/>
      <c r="B1284" s="48" t="s">
        <v>65</v>
      </c>
      <c r="C1284" s="49" t="s">
        <v>19</v>
      </c>
      <c r="D1284" s="68">
        <f>12.73</f>
        <v>12.73</v>
      </c>
      <c r="E1284" s="69"/>
      <c r="F1284" s="42"/>
    </row>
    <row r="1285" spans="1:28" s="58" customFormat="1" ht="30" customHeight="1" collapsed="1" x14ac:dyDescent="0.4">
      <c r="A1285" s="24">
        <f>A1282+1</f>
        <v>540</v>
      </c>
      <c r="B1285" s="83" t="s">
        <v>462</v>
      </c>
      <c r="C1285" s="84" t="s">
        <v>132</v>
      </c>
      <c r="D1285" s="85">
        <v>35.6</v>
      </c>
      <c r="E1285" s="66"/>
      <c r="F1285" s="57"/>
    </row>
    <row r="1286" spans="1:28" s="58" customFormat="1" ht="30" customHeight="1" x14ac:dyDescent="0.4">
      <c r="A1286" s="24">
        <f>A1285+1</f>
        <v>541</v>
      </c>
      <c r="B1286" s="83" t="s">
        <v>668</v>
      </c>
      <c r="C1286" s="84" t="s">
        <v>19</v>
      </c>
      <c r="D1286" s="85">
        <v>0.1</v>
      </c>
      <c r="E1286" s="66"/>
      <c r="F1286" s="57"/>
    </row>
    <row r="1287" spans="1:28" s="58" customFormat="1" ht="30" customHeight="1" x14ac:dyDescent="0.4">
      <c r="A1287" s="24">
        <f>A1286+1</f>
        <v>542</v>
      </c>
      <c r="B1287" s="83" t="s">
        <v>466</v>
      </c>
      <c r="C1287" s="84" t="s">
        <v>467</v>
      </c>
      <c r="D1287" s="85" t="s">
        <v>669</v>
      </c>
      <c r="E1287" s="66"/>
      <c r="F1287" s="57"/>
    </row>
    <row r="1288" spans="1:28" s="39" customFormat="1" ht="21" customHeight="1" x14ac:dyDescent="0.35">
      <c r="A1288" s="154" t="s">
        <v>670</v>
      </c>
      <c r="B1288" s="154"/>
      <c r="C1288" s="154"/>
      <c r="D1288" s="154"/>
      <c r="E1288" s="154"/>
      <c r="F1288" s="34"/>
      <c r="G1288" s="35"/>
      <c r="H1288" s="36"/>
      <c r="I1288" s="37"/>
      <c r="J1288" s="37"/>
      <c r="K1288" s="38"/>
      <c r="L1288" s="38"/>
      <c r="M1288" s="38"/>
      <c r="N1288" s="36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</row>
    <row r="1289" spans="1:28" s="39" customFormat="1" ht="36" customHeight="1" x14ac:dyDescent="0.35">
      <c r="A1289" s="24">
        <f>A1287+1</f>
        <v>543</v>
      </c>
      <c r="B1289" s="25" t="s">
        <v>671</v>
      </c>
      <c r="C1289" s="26" t="s">
        <v>67</v>
      </c>
      <c r="D1289" s="40" t="s">
        <v>672</v>
      </c>
      <c r="E1289" s="64"/>
      <c r="F1289" s="34"/>
      <c r="G1289" s="35"/>
      <c r="H1289" s="36"/>
      <c r="I1289" s="37"/>
      <c r="J1289" s="37"/>
      <c r="K1289" s="38"/>
      <c r="L1289" s="38"/>
      <c r="M1289" s="38"/>
      <c r="N1289" s="36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</row>
    <row r="1290" spans="1:28" s="58" customFormat="1" ht="30" hidden="1" customHeight="1" outlineLevel="1" x14ac:dyDescent="0.4">
      <c r="A1290" s="54"/>
      <c r="B1290" s="48" t="s">
        <v>471</v>
      </c>
      <c r="C1290" s="49" t="s">
        <v>14</v>
      </c>
      <c r="D1290" s="65">
        <f>7.31*10.36/1000</f>
        <v>7.5731599999999982E-2</v>
      </c>
      <c r="E1290" s="51"/>
      <c r="F1290" s="57"/>
    </row>
    <row r="1291" spans="1:28" s="58" customFormat="1" ht="30" hidden="1" customHeight="1" outlineLevel="1" x14ac:dyDescent="0.4">
      <c r="A1291" s="54"/>
      <c r="B1291" s="48" t="s">
        <v>185</v>
      </c>
      <c r="C1291" s="49" t="s">
        <v>14</v>
      </c>
      <c r="D1291" s="65">
        <f>1.21*78.5/1000</f>
        <v>9.4985E-2</v>
      </c>
      <c r="E1291" s="51"/>
      <c r="F1291" s="57"/>
    </row>
    <row r="1292" spans="1:28" s="58" customFormat="1" ht="30" customHeight="1" collapsed="1" x14ac:dyDescent="0.4">
      <c r="A1292" s="24">
        <f>A1289+1</f>
        <v>544</v>
      </c>
      <c r="B1292" s="59" t="s">
        <v>126</v>
      </c>
      <c r="C1292" s="70" t="s">
        <v>58</v>
      </c>
      <c r="D1292" s="40">
        <v>36</v>
      </c>
      <c r="E1292" s="66"/>
      <c r="F1292" s="57"/>
    </row>
    <row r="1293" spans="1:28" s="58" customFormat="1" ht="30" customHeight="1" x14ac:dyDescent="0.4">
      <c r="A1293" s="24">
        <f>A1292+1</f>
        <v>545</v>
      </c>
      <c r="B1293" s="59" t="s">
        <v>123</v>
      </c>
      <c r="C1293" s="70" t="s">
        <v>67</v>
      </c>
      <c r="D1293" s="40" t="s">
        <v>673</v>
      </c>
      <c r="E1293" s="66"/>
      <c r="F1293" s="57"/>
    </row>
    <row r="1294" spans="1:28" s="58" customFormat="1" ht="30" hidden="1" customHeight="1" outlineLevel="1" x14ac:dyDescent="0.4">
      <c r="A1294" s="54"/>
      <c r="B1294" s="48" t="s">
        <v>621</v>
      </c>
      <c r="C1294" s="49" t="s">
        <v>58</v>
      </c>
      <c r="D1294" s="49">
        <v>36</v>
      </c>
      <c r="E1294" s="69"/>
      <c r="F1294" s="57"/>
    </row>
    <row r="1295" spans="1:28" ht="36" customHeight="1" collapsed="1" x14ac:dyDescent="0.35">
      <c r="A1295" s="24">
        <f>A1293+1</f>
        <v>546</v>
      </c>
      <c r="B1295" s="59" t="s">
        <v>72</v>
      </c>
      <c r="C1295" s="26" t="s">
        <v>29</v>
      </c>
      <c r="D1295" s="67">
        <f>((0.089*3.14*7.31)+(1.21*2))</f>
        <v>4.4628525999999997</v>
      </c>
      <c r="E1295" s="41"/>
      <c r="F1295" s="42"/>
    </row>
    <row r="1296" spans="1:28" s="58" customFormat="1" ht="30" hidden="1" customHeight="1" outlineLevel="1" x14ac:dyDescent="0.4">
      <c r="A1296" s="54"/>
      <c r="B1296" s="48" t="s">
        <v>73</v>
      </c>
      <c r="C1296" s="49" t="s">
        <v>74</v>
      </c>
      <c r="D1296" s="68">
        <f>3.31*D1295</f>
        <v>14.772042105999999</v>
      </c>
      <c r="E1296" s="69">
        <v>1.4999999999999999E-2</v>
      </c>
      <c r="F1296" s="57"/>
    </row>
    <row r="1297" spans="1:28" ht="36" customHeight="1" collapsed="1" x14ac:dyDescent="0.35">
      <c r="A1297" s="24">
        <f>A1295+1</f>
        <v>547</v>
      </c>
      <c r="B1297" s="59" t="s">
        <v>75</v>
      </c>
      <c r="C1297" s="26" t="s">
        <v>29</v>
      </c>
      <c r="D1297" s="67">
        <f>((0.089*3.14*7.31)+(1.21*2))</f>
        <v>4.4628525999999997</v>
      </c>
      <c r="E1297" s="41"/>
      <c r="F1297" s="42"/>
    </row>
    <row r="1298" spans="1:28" ht="36" customHeight="1" x14ac:dyDescent="0.35">
      <c r="A1298" s="24">
        <f>A1297+1</f>
        <v>548</v>
      </c>
      <c r="B1298" s="59" t="s">
        <v>76</v>
      </c>
      <c r="C1298" s="26" t="s">
        <v>29</v>
      </c>
      <c r="D1298" s="67">
        <f>((0.089*3.14*7.31)+(1.21*2))</f>
        <v>4.4628525999999997</v>
      </c>
      <c r="E1298" s="41"/>
      <c r="F1298" s="42"/>
    </row>
    <row r="1299" spans="1:28" s="58" customFormat="1" ht="30" customHeight="1" x14ac:dyDescent="0.4">
      <c r="A1299" s="24">
        <f>A1298+1</f>
        <v>549</v>
      </c>
      <c r="B1299" s="59" t="s">
        <v>77</v>
      </c>
      <c r="C1299" s="70" t="s">
        <v>29</v>
      </c>
      <c r="D1299" s="67">
        <f>((0.089*3.14*7.31)+(1.21*2))</f>
        <v>4.4628525999999997</v>
      </c>
      <c r="E1299" s="66"/>
      <c r="F1299" s="57"/>
    </row>
    <row r="1300" spans="1:28" s="58" customFormat="1" ht="30" hidden="1" customHeight="1" outlineLevel="1" x14ac:dyDescent="0.4">
      <c r="A1300" s="54"/>
      <c r="B1300" s="48" t="s">
        <v>78</v>
      </c>
      <c r="C1300" s="49" t="s">
        <v>74</v>
      </c>
      <c r="D1300" s="68">
        <f>D1299*0.255</f>
        <v>1.1380274129999999</v>
      </c>
      <c r="E1300" s="69">
        <v>1E-3</v>
      </c>
      <c r="F1300" s="57"/>
    </row>
    <row r="1301" spans="1:28" s="58" customFormat="1" ht="30" customHeight="1" collapsed="1" x14ac:dyDescent="0.4">
      <c r="A1301" s="24">
        <f>A1299+1</f>
        <v>550</v>
      </c>
      <c r="B1301" s="59" t="s">
        <v>79</v>
      </c>
      <c r="C1301" s="70" t="s">
        <v>29</v>
      </c>
      <c r="D1301" s="67">
        <f>((0.089*3.14*7.31)+(1.21*2))</f>
        <v>4.4628525999999997</v>
      </c>
      <c r="E1301" s="66"/>
      <c r="F1301" s="57"/>
    </row>
    <row r="1302" spans="1:28" s="58" customFormat="1" ht="30" hidden="1" customHeight="1" outlineLevel="1" x14ac:dyDescent="0.4">
      <c r="A1302" s="54"/>
      <c r="B1302" s="48" t="s">
        <v>80</v>
      </c>
      <c r="C1302" s="49" t="s">
        <v>74</v>
      </c>
      <c r="D1302" s="68">
        <f>D1301*0.36*2</f>
        <v>3.2132538719999997</v>
      </c>
      <c r="E1302" s="69">
        <v>3.0000000000000001E-3</v>
      </c>
      <c r="F1302" s="57"/>
    </row>
    <row r="1303" spans="1:28" s="39" customFormat="1" ht="21" customHeight="1" collapsed="1" x14ac:dyDescent="0.35">
      <c r="A1303" s="158" t="s">
        <v>674</v>
      </c>
      <c r="B1303" s="158"/>
      <c r="C1303" s="158"/>
      <c r="D1303" s="158"/>
      <c r="E1303" s="158"/>
      <c r="F1303" s="34"/>
      <c r="G1303" s="35"/>
      <c r="H1303" s="36"/>
      <c r="I1303" s="37"/>
      <c r="J1303" s="37"/>
      <c r="K1303" s="38"/>
      <c r="L1303" s="38"/>
      <c r="M1303" s="38"/>
      <c r="N1303" s="36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</row>
    <row r="1304" spans="1:28" s="39" customFormat="1" ht="21" customHeight="1" x14ac:dyDescent="0.35">
      <c r="A1304" s="154" t="s">
        <v>675</v>
      </c>
      <c r="B1304" s="154"/>
      <c r="C1304" s="154"/>
      <c r="D1304" s="154"/>
      <c r="E1304" s="154"/>
      <c r="F1304" s="34"/>
      <c r="G1304" s="35"/>
      <c r="H1304" s="36"/>
      <c r="I1304" s="37"/>
      <c r="J1304" s="37"/>
      <c r="K1304" s="38"/>
      <c r="L1304" s="38"/>
      <c r="M1304" s="38"/>
      <c r="N1304" s="36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</row>
    <row r="1305" spans="1:28" ht="31" customHeight="1" x14ac:dyDescent="0.35">
      <c r="A1305" s="24">
        <f>A1301+1</f>
        <v>551</v>
      </c>
      <c r="B1305" s="25" t="s">
        <v>600</v>
      </c>
      <c r="C1305" s="89" t="s">
        <v>19</v>
      </c>
      <c r="D1305" s="26">
        <f>3*3*2*3</f>
        <v>54</v>
      </c>
      <c r="E1305" s="41"/>
      <c r="F1305" s="42"/>
    </row>
    <row r="1306" spans="1:28" ht="31" customHeight="1" x14ac:dyDescent="0.35">
      <c r="A1306" s="24">
        <f>A1305+1</f>
        <v>552</v>
      </c>
      <c r="B1306" s="25" t="s">
        <v>136</v>
      </c>
      <c r="C1306" s="89" t="s">
        <v>19</v>
      </c>
      <c r="D1306" s="26">
        <f>0.15*3</f>
        <v>0.44999999999999996</v>
      </c>
      <c r="E1306" s="41"/>
      <c r="F1306" s="42"/>
    </row>
    <row r="1307" spans="1:28" ht="30" hidden="1" customHeight="1" outlineLevel="1" x14ac:dyDescent="0.35">
      <c r="A1307" s="47"/>
      <c r="B1307" s="48" t="s">
        <v>134</v>
      </c>
      <c r="C1307" s="49" t="s">
        <v>19</v>
      </c>
      <c r="D1307" s="68">
        <f>0.45</f>
        <v>0.45</v>
      </c>
      <c r="E1307" s="78"/>
      <c r="F1307" s="42"/>
    </row>
    <row r="1308" spans="1:28" ht="31" customHeight="1" collapsed="1" x14ac:dyDescent="0.35">
      <c r="A1308" s="24">
        <f>A1306+1</f>
        <v>553</v>
      </c>
      <c r="B1308" s="25" t="s">
        <v>64</v>
      </c>
      <c r="C1308" s="89" t="s">
        <v>19</v>
      </c>
      <c r="D1308" s="26">
        <f>0.95*3</f>
        <v>2.8499999999999996</v>
      </c>
      <c r="E1308" s="41"/>
      <c r="F1308" s="42"/>
    </row>
    <row r="1309" spans="1:28" ht="30" hidden="1" customHeight="1" outlineLevel="1" x14ac:dyDescent="0.35">
      <c r="A1309" s="47"/>
      <c r="B1309" s="48" t="s">
        <v>65</v>
      </c>
      <c r="C1309" s="49" t="s">
        <v>19</v>
      </c>
      <c r="D1309" s="68">
        <f>0.95*3</f>
        <v>2.8499999999999996</v>
      </c>
      <c r="E1309" s="78"/>
      <c r="F1309" s="42"/>
    </row>
    <row r="1310" spans="1:28" s="39" customFormat="1" ht="36" customHeight="1" collapsed="1" x14ac:dyDescent="0.35">
      <c r="A1310" s="24">
        <f>A1308+1</f>
        <v>554</v>
      </c>
      <c r="B1310" s="59" t="s">
        <v>676</v>
      </c>
      <c r="C1310" s="26" t="s">
        <v>67</v>
      </c>
      <c r="D1310" s="40" t="s">
        <v>677</v>
      </c>
      <c r="E1310" s="64"/>
      <c r="F1310" s="34"/>
      <c r="G1310" s="35"/>
      <c r="H1310" s="36"/>
      <c r="I1310" s="37"/>
      <c r="J1310" s="37"/>
      <c r="K1310" s="38"/>
      <c r="L1310" s="38"/>
      <c r="M1310" s="38"/>
      <c r="N1310" s="36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</row>
    <row r="1311" spans="1:28" s="58" customFormat="1" ht="30" hidden="1" customHeight="1" outlineLevel="1" x14ac:dyDescent="0.4">
      <c r="A1311" s="54"/>
      <c r="B1311" s="48" t="s">
        <v>86</v>
      </c>
      <c r="C1311" s="49" t="s">
        <v>14</v>
      </c>
      <c r="D1311" s="65">
        <f>113.2*3/1000*1.001</f>
        <v>0.33993959999999995</v>
      </c>
      <c r="E1311" s="51"/>
      <c r="F1311" s="57"/>
    </row>
    <row r="1312" spans="1:28" s="58" customFormat="1" ht="30" hidden="1" customHeight="1" outlineLevel="1" x14ac:dyDescent="0.4">
      <c r="A1312" s="54"/>
      <c r="B1312" s="48" t="s">
        <v>87</v>
      </c>
      <c r="C1312" s="49" t="s">
        <v>14</v>
      </c>
      <c r="D1312" s="65">
        <f>(11-0.98)/1000*1.001*3</f>
        <v>3.0090059999999995E-2</v>
      </c>
      <c r="E1312" s="51"/>
      <c r="F1312" s="57"/>
    </row>
    <row r="1313" spans="1:28" s="58" customFormat="1" ht="30" hidden="1" customHeight="1" outlineLevel="1" x14ac:dyDescent="0.4">
      <c r="A1313" s="54"/>
      <c r="B1313" s="48" t="s">
        <v>70</v>
      </c>
      <c r="C1313" s="49" t="s">
        <v>14</v>
      </c>
      <c r="D1313" s="65">
        <f>(2.01*3)/1000*1.001</f>
        <v>6.0360299999999995E-3</v>
      </c>
      <c r="E1313" s="51"/>
      <c r="F1313" s="57"/>
    </row>
    <row r="1314" spans="1:28" s="39" customFormat="1" ht="21" customHeight="1" collapsed="1" x14ac:dyDescent="0.35">
      <c r="A1314" s="158" t="s">
        <v>678</v>
      </c>
      <c r="B1314" s="158"/>
      <c r="C1314" s="158"/>
      <c r="D1314" s="158"/>
      <c r="E1314" s="158"/>
      <c r="F1314" s="34"/>
      <c r="G1314" s="35"/>
      <c r="H1314" s="36"/>
      <c r="I1314" s="37"/>
      <c r="J1314" s="37"/>
      <c r="K1314" s="38"/>
      <c r="L1314" s="38"/>
      <c r="M1314" s="38"/>
      <c r="N1314" s="36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</row>
    <row r="1315" spans="1:28" ht="36" customHeight="1" x14ac:dyDescent="0.35">
      <c r="A1315" s="24">
        <f>A1310+1</f>
        <v>555</v>
      </c>
      <c r="B1315" s="59" t="s">
        <v>679</v>
      </c>
      <c r="C1315" s="26" t="s">
        <v>58</v>
      </c>
      <c r="D1315" s="82">
        <v>1</v>
      </c>
      <c r="E1315" s="41"/>
      <c r="F1315" s="42"/>
    </row>
    <row r="1316" spans="1:28" ht="36" customHeight="1" x14ac:dyDescent="0.35">
      <c r="A1316" s="24">
        <f t="shared" ref="A1316:A1317" si="6">A1315+1</f>
        <v>556</v>
      </c>
      <c r="B1316" s="59" t="s">
        <v>680</v>
      </c>
      <c r="C1316" s="26" t="s">
        <v>58</v>
      </c>
      <c r="D1316" s="82">
        <v>1</v>
      </c>
      <c r="E1316" s="41"/>
      <c r="F1316" s="42"/>
    </row>
    <row r="1317" spans="1:28" s="39" customFormat="1" ht="36" customHeight="1" x14ac:dyDescent="0.35">
      <c r="A1317" s="24">
        <f t="shared" si="6"/>
        <v>557</v>
      </c>
      <c r="B1317" s="59" t="s">
        <v>501</v>
      </c>
      <c r="C1317" s="26" t="s">
        <v>58</v>
      </c>
      <c r="D1317" s="40">
        <v>2</v>
      </c>
      <c r="E1317" s="64"/>
      <c r="F1317" s="34"/>
      <c r="G1317" s="35"/>
      <c r="H1317" s="36"/>
      <c r="I1317" s="37"/>
      <c r="J1317" s="37"/>
      <c r="K1317" s="38"/>
      <c r="L1317" s="38"/>
      <c r="M1317" s="38"/>
      <c r="N1317" s="36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</row>
    <row r="1318" spans="1:28" ht="31" hidden="1" customHeight="1" outlineLevel="1" x14ac:dyDescent="0.35">
      <c r="A1318" s="47"/>
      <c r="B1318" s="48" t="s">
        <v>635</v>
      </c>
      <c r="C1318" s="49" t="s">
        <v>58</v>
      </c>
      <c r="D1318" s="75">
        <v>2</v>
      </c>
      <c r="E1318" s="51">
        <v>5.6000000000000001E-2</v>
      </c>
      <c r="F1318" s="42"/>
    </row>
    <row r="1319" spans="1:28" s="39" customFormat="1" ht="36" customHeight="1" collapsed="1" x14ac:dyDescent="0.35">
      <c r="A1319" s="24">
        <f>A1317+1</f>
        <v>558</v>
      </c>
      <c r="B1319" s="59" t="s">
        <v>637</v>
      </c>
      <c r="C1319" s="26" t="s">
        <v>58</v>
      </c>
      <c r="D1319" s="40">
        <v>1</v>
      </c>
      <c r="E1319" s="64"/>
      <c r="F1319" s="34"/>
      <c r="G1319" s="35"/>
      <c r="H1319" s="36"/>
      <c r="I1319" s="37"/>
      <c r="J1319" s="37"/>
      <c r="K1319" s="38"/>
      <c r="L1319" s="38"/>
      <c r="M1319" s="38"/>
      <c r="N1319" s="36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</row>
    <row r="1320" spans="1:28" ht="34.5" hidden="1" customHeight="1" outlineLevel="1" x14ac:dyDescent="0.35">
      <c r="A1320" s="47"/>
      <c r="B1320" s="48" t="s">
        <v>681</v>
      </c>
      <c r="C1320" s="49" t="s">
        <v>58</v>
      </c>
      <c r="D1320" s="75">
        <v>1</v>
      </c>
      <c r="E1320" s="51">
        <v>2.8000000000000001E-2</v>
      </c>
      <c r="F1320" s="42"/>
    </row>
    <row r="1321" spans="1:28" s="39" customFormat="1" ht="36" customHeight="1" collapsed="1" x14ac:dyDescent="0.35">
      <c r="A1321" s="24">
        <f>A1319+1</f>
        <v>559</v>
      </c>
      <c r="B1321" s="59" t="s">
        <v>506</v>
      </c>
      <c r="C1321" s="26" t="s">
        <v>58</v>
      </c>
      <c r="D1321" s="40">
        <v>3</v>
      </c>
      <c r="E1321" s="64"/>
      <c r="F1321" s="34"/>
      <c r="G1321" s="35"/>
      <c r="H1321" s="36"/>
      <c r="I1321" s="37"/>
      <c r="J1321" s="37"/>
      <c r="K1321" s="38"/>
      <c r="L1321" s="38"/>
      <c r="M1321" s="38"/>
      <c r="N1321" s="36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</row>
    <row r="1322" spans="1:28" ht="31" hidden="1" customHeight="1" outlineLevel="1" x14ac:dyDescent="0.35">
      <c r="A1322" s="47"/>
      <c r="B1322" s="48" t="s">
        <v>639</v>
      </c>
      <c r="C1322" s="49" t="s">
        <v>58</v>
      </c>
      <c r="D1322" s="75">
        <v>3</v>
      </c>
      <c r="E1322" s="51">
        <v>0.17699999999999999</v>
      </c>
      <c r="F1322" s="42"/>
    </row>
    <row r="1323" spans="1:28" s="58" customFormat="1" ht="30.9" collapsed="1" x14ac:dyDescent="0.4">
      <c r="A1323" s="24">
        <f>A1321+1</f>
        <v>560</v>
      </c>
      <c r="B1323" s="59" t="s">
        <v>201</v>
      </c>
      <c r="C1323" s="70" t="s">
        <v>132</v>
      </c>
      <c r="D1323" s="40">
        <v>17.5</v>
      </c>
      <c r="E1323" s="79" t="s">
        <v>151</v>
      </c>
      <c r="F1323" s="57"/>
    </row>
    <row r="1324" spans="1:28" s="58" customFormat="1" ht="30.9" hidden="1" outlineLevel="1" x14ac:dyDescent="0.4">
      <c r="A1324" s="54"/>
      <c r="B1324" s="48" t="s">
        <v>640</v>
      </c>
      <c r="C1324" s="49" t="s">
        <v>14</v>
      </c>
      <c r="D1324" s="65">
        <f>17.5*5.23*1.1/1000</f>
        <v>0.1006775</v>
      </c>
      <c r="E1324" s="51"/>
      <c r="F1324" s="57"/>
    </row>
    <row r="1325" spans="1:28" s="58" customFormat="1" ht="30" hidden="1" customHeight="1" outlineLevel="1" x14ac:dyDescent="0.4">
      <c r="A1325" s="54"/>
      <c r="B1325" s="48" t="s">
        <v>641</v>
      </c>
      <c r="C1325" s="49" t="s">
        <v>58</v>
      </c>
      <c r="D1325" s="55">
        <v>1</v>
      </c>
      <c r="E1325" s="51">
        <v>1E-3</v>
      </c>
      <c r="F1325" s="57"/>
    </row>
    <row r="1326" spans="1:28" s="58" customFormat="1" ht="30" hidden="1" customHeight="1" outlineLevel="1" x14ac:dyDescent="0.4">
      <c r="A1326" s="54"/>
      <c r="B1326" s="48" t="s">
        <v>525</v>
      </c>
      <c r="C1326" s="49" t="s">
        <v>58</v>
      </c>
      <c r="D1326" s="55">
        <v>11</v>
      </c>
      <c r="E1326" s="51">
        <v>8.0000000000000002E-3</v>
      </c>
      <c r="F1326" s="57"/>
    </row>
    <row r="1327" spans="1:28" s="58" customFormat="1" ht="30" hidden="1" customHeight="1" outlineLevel="1" x14ac:dyDescent="0.4">
      <c r="A1327" s="54"/>
      <c r="B1327" s="48" t="s">
        <v>642</v>
      </c>
      <c r="C1327" s="49" t="s">
        <v>58</v>
      </c>
      <c r="D1327" s="55">
        <v>2</v>
      </c>
      <c r="E1327" s="51">
        <v>1E-3</v>
      </c>
      <c r="F1327" s="57"/>
    </row>
    <row r="1328" spans="1:28" s="58" customFormat="1" ht="30" hidden="1" customHeight="1" outlineLevel="1" x14ac:dyDescent="0.4">
      <c r="A1328" s="54"/>
      <c r="B1328" s="48" t="s">
        <v>643</v>
      </c>
      <c r="C1328" s="49" t="s">
        <v>58</v>
      </c>
      <c r="D1328" s="55">
        <v>2</v>
      </c>
      <c r="E1328" s="51">
        <v>3.0000000000000001E-3</v>
      </c>
      <c r="F1328" s="57"/>
    </row>
    <row r="1329" spans="1:6" s="58" customFormat="1" ht="30.9" collapsed="1" x14ac:dyDescent="0.4">
      <c r="A1329" s="24">
        <f>A1323+1</f>
        <v>561</v>
      </c>
      <c r="B1329" s="59" t="s">
        <v>155</v>
      </c>
      <c r="C1329" s="70" t="s">
        <v>132</v>
      </c>
      <c r="D1329" s="40">
        <v>9</v>
      </c>
      <c r="E1329" s="79" t="s">
        <v>151</v>
      </c>
      <c r="F1329" s="57"/>
    </row>
    <row r="1330" spans="1:6" s="58" customFormat="1" ht="30.9" hidden="1" outlineLevel="1" x14ac:dyDescent="0.4">
      <c r="A1330" s="54"/>
      <c r="B1330" s="48" t="s">
        <v>645</v>
      </c>
      <c r="C1330" s="49" t="s">
        <v>14</v>
      </c>
      <c r="D1330" s="65">
        <f>9*15.98*1.1/1000</f>
        <v>0.15820200000000001</v>
      </c>
      <c r="E1330" s="51"/>
      <c r="F1330" s="57"/>
    </row>
    <row r="1331" spans="1:6" s="58" customFormat="1" ht="30" hidden="1" customHeight="1" outlineLevel="1" x14ac:dyDescent="0.4">
      <c r="A1331" s="54"/>
      <c r="B1331" s="48" t="s">
        <v>646</v>
      </c>
      <c r="C1331" s="49" t="s">
        <v>58</v>
      </c>
      <c r="D1331" s="55">
        <v>4</v>
      </c>
      <c r="E1331" s="51">
        <v>1.7999999999999999E-2</v>
      </c>
      <c r="F1331" s="57"/>
    </row>
    <row r="1332" spans="1:6" s="58" customFormat="1" ht="30.9" collapsed="1" x14ac:dyDescent="0.4">
      <c r="A1332" s="24">
        <f>A1329+1</f>
        <v>562</v>
      </c>
      <c r="B1332" s="59" t="s">
        <v>648</v>
      </c>
      <c r="C1332" s="70" t="s">
        <v>132</v>
      </c>
      <c r="D1332" s="40">
        <v>2.1</v>
      </c>
      <c r="E1332" s="66"/>
      <c r="F1332" s="57"/>
    </row>
    <row r="1333" spans="1:6" s="58" customFormat="1" ht="30.9" hidden="1" outlineLevel="1" x14ac:dyDescent="0.4">
      <c r="A1333" s="54"/>
      <c r="B1333" s="48" t="s">
        <v>649</v>
      </c>
      <c r="C1333" s="49" t="s">
        <v>14</v>
      </c>
      <c r="D1333" s="65">
        <f>2.1*5.23*1.1/1000</f>
        <v>1.2081300000000003E-2</v>
      </c>
      <c r="E1333" s="51"/>
      <c r="F1333" s="57"/>
    </row>
    <row r="1334" spans="1:6" s="58" customFormat="1" ht="30" customHeight="1" collapsed="1" x14ac:dyDescent="0.4">
      <c r="A1334" s="24">
        <f>A1332+1</f>
        <v>563</v>
      </c>
      <c r="B1334" s="59" t="s">
        <v>158</v>
      </c>
      <c r="C1334" s="70" t="s">
        <v>67</v>
      </c>
      <c r="D1334" s="40" t="s">
        <v>682</v>
      </c>
      <c r="E1334" s="66"/>
      <c r="F1334" s="57"/>
    </row>
    <row r="1335" spans="1:6" s="58" customFormat="1" ht="30" hidden="1" customHeight="1" outlineLevel="1" x14ac:dyDescent="0.4">
      <c r="A1335" s="54"/>
      <c r="B1335" s="48" t="s">
        <v>210</v>
      </c>
      <c r="C1335" s="49" t="s">
        <v>58</v>
      </c>
      <c r="D1335" s="55">
        <v>5</v>
      </c>
      <c r="E1335" s="51">
        <v>1.0999999999999999E-2</v>
      </c>
      <c r="F1335" s="57"/>
    </row>
    <row r="1336" spans="1:6" s="58" customFormat="1" ht="30" hidden="1" customHeight="1" outlineLevel="1" x14ac:dyDescent="0.4">
      <c r="A1336" s="54"/>
      <c r="B1336" s="48" t="s">
        <v>552</v>
      </c>
      <c r="C1336" s="49" t="s">
        <v>58</v>
      </c>
      <c r="D1336" s="55">
        <v>4</v>
      </c>
      <c r="E1336" s="51">
        <v>2.1999999999999999E-2</v>
      </c>
      <c r="F1336" s="57"/>
    </row>
    <row r="1337" spans="1:6" s="58" customFormat="1" ht="30" customHeight="1" collapsed="1" x14ac:dyDescent="0.4">
      <c r="A1337" s="24">
        <f>A1334+1</f>
        <v>564</v>
      </c>
      <c r="B1337" s="71" t="s">
        <v>240</v>
      </c>
      <c r="C1337" s="40" t="s">
        <v>58</v>
      </c>
      <c r="D1337" s="82">
        <v>6</v>
      </c>
      <c r="E1337" s="66"/>
      <c r="F1337" s="57"/>
    </row>
    <row r="1338" spans="1:6" s="58" customFormat="1" ht="30" hidden="1" customHeight="1" outlineLevel="1" x14ac:dyDescent="0.4">
      <c r="A1338" s="54"/>
      <c r="B1338" s="48" t="s">
        <v>241</v>
      </c>
      <c r="C1338" s="49" t="s">
        <v>14</v>
      </c>
      <c r="D1338" s="65">
        <f>0.6*1.88*6/1000</f>
        <v>6.7679999999999988E-3</v>
      </c>
      <c r="E1338" s="51"/>
      <c r="F1338" s="57"/>
    </row>
    <row r="1339" spans="1:6" s="58" customFormat="1" ht="30" hidden="1" customHeight="1" outlineLevel="1" x14ac:dyDescent="0.4">
      <c r="A1339" s="54"/>
      <c r="B1339" s="48" t="s">
        <v>242</v>
      </c>
      <c r="C1339" s="49" t="s">
        <v>58</v>
      </c>
      <c r="D1339" s="55">
        <f>4*6</f>
        <v>24</v>
      </c>
      <c r="E1339" s="51"/>
      <c r="F1339" s="57"/>
    </row>
    <row r="1340" spans="1:6" s="58" customFormat="1" ht="30" hidden="1" customHeight="1" outlineLevel="1" x14ac:dyDescent="0.4">
      <c r="A1340" s="54"/>
      <c r="B1340" s="48" t="s">
        <v>243</v>
      </c>
      <c r="C1340" s="49" t="s">
        <v>58</v>
      </c>
      <c r="D1340" s="55">
        <f>12*6</f>
        <v>72</v>
      </c>
      <c r="E1340" s="51"/>
      <c r="F1340" s="57"/>
    </row>
    <row r="1341" spans="1:6" s="58" customFormat="1" ht="30" hidden="1" customHeight="1" outlineLevel="1" x14ac:dyDescent="0.4">
      <c r="A1341" s="54"/>
      <c r="B1341" s="48" t="s">
        <v>244</v>
      </c>
      <c r="C1341" s="49" t="s">
        <v>58</v>
      </c>
      <c r="D1341" s="55">
        <f>4*6</f>
        <v>24</v>
      </c>
      <c r="E1341" s="51"/>
      <c r="F1341" s="57"/>
    </row>
    <row r="1342" spans="1:6" s="58" customFormat="1" ht="30" hidden="1" customHeight="1" outlineLevel="1" x14ac:dyDescent="0.4">
      <c r="A1342" s="54"/>
      <c r="B1342" s="48" t="s">
        <v>245</v>
      </c>
      <c r="C1342" s="49" t="s">
        <v>58</v>
      </c>
      <c r="D1342" s="55">
        <f>8*6</f>
        <v>48</v>
      </c>
      <c r="E1342" s="51"/>
      <c r="F1342" s="57"/>
    </row>
    <row r="1343" spans="1:6" s="58" customFormat="1" ht="30" hidden="1" customHeight="1" outlineLevel="1" x14ac:dyDescent="0.4">
      <c r="A1343" s="54"/>
      <c r="B1343" s="48" t="s">
        <v>246</v>
      </c>
      <c r="C1343" s="49" t="s">
        <v>58</v>
      </c>
      <c r="D1343" s="55">
        <f>16*6</f>
        <v>96</v>
      </c>
      <c r="E1343" s="51"/>
      <c r="F1343" s="57"/>
    </row>
    <row r="1344" spans="1:6" s="58" customFormat="1" ht="30" hidden="1" customHeight="1" outlineLevel="1" x14ac:dyDescent="0.4">
      <c r="A1344" s="54"/>
      <c r="B1344" s="48" t="s">
        <v>247</v>
      </c>
      <c r="C1344" s="49" t="s">
        <v>58</v>
      </c>
      <c r="D1344" s="55">
        <f>16*6</f>
        <v>96</v>
      </c>
      <c r="E1344" s="51"/>
      <c r="F1344" s="57"/>
    </row>
    <row r="1345" spans="1:203" s="43" customFormat="1" ht="36" customHeight="1" collapsed="1" x14ac:dyDescent="0.35">
      <c r="A1345" s="24">
        <f>A1337+1</f>
        <v>565</v>
      </c>
      <c r="B1345" s="59" t="s">
        <v>72</v>
      </c>
      <c r="C1345" s="26" t="s">
        <v>29</v>
      </c>
      <c r="D1345" s="104">
        <f>3.13+3.22</f>
        <v>6.35</v>
      </c>
      <c r="E1345" s="41"/>
      <c r="F1345" s="42"/>
      <c r="H1345" s="44"/>
      <c r="K1345" s="45"/>
      <c r="L1345" s="45"/>
      <c r="M1345" s="45"/>
      <c r="N1345" s="44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  <c r="CZ1345" s="46"/>
      <c r="DA1345" s="46"/>
      <c r="DB1345" s="46"/>
      <c r="DC1345" s="46"/>
      <c r="DD1345" s="46"/>
      <c r="DE1345" s="46"/>
      <c r="DF1345" s="46"/>
      <c r="DG1345" s="46"/>
      <c r="DH1345" s="46"/>
      <c r="DI1345" s="46"/>
      <c r="DJ1345" s="46"/>
      <c r="DK1345" s="46"/>
      <c r="DL1345" s="46"/>
      <c r="DM1345" s="46"/>
      <c r="DN1345" s="46"/>
      <c r="DO1345" s="46"/>
      <c r="DP1345" s="46"/>
      <c r="DQ1345" s="46"/>
      <c r="DR1345" s="46"/>
      <c r="DS1345" s="46"/>
      <c r="DT1345" s="46"/>
      <c r="DU1345" s="46"/>
      <c r="DV1345" s="46"/>
      <c r="DW1345" s="46"/>
      <c r="DX1345" s="46"/>
      <c r="DY1345" s="46"/>
      <c r="DZ1345" s="46"/>
      <c r="EA1345" s="46"/>
      <c r="EB1345" s="46"/>
      <c r="EC1345" s="46"/>
      <c r="ED1345" s="46"/>
      <c r="EE1345" s="46"/>
      <c r="EF1345" s="46"/>
      <c r="EG1345" s="46"/>
      <c r="EH1345" s="46"/>
      <c r="EI1345" s="46"/>
      <c r="EJ1345" s="46"/>
      <c r="EK1345" s="46"/>
      <c r="EL1345" s="46"/>
      <c r="EM1345" s="46"/>
      <c r="EN1345" s="46"/>
      <c r="EO1345" s="46"/>
      <c r="EP1345" s="46"/>
      <c r="EQ1345" s="46"/>
      <c r="ER1345" s="46"/>
      <c r="ES1345" s="46"/>
      <c r="ET1345" s="46"/>
      <c r="EU1345" s="46"/>
      <c r="EV1345" s="46"/>
      <c r="EW1345" s="46"/>
      <c r="EX1345" s="46"/>
      <c r="EY1345" s="46"/>
      <c r="EZ1345" s="46"/>
      <c r="FA1345" s="46"/>
      <c r="FB1345" s="46"/>
      <c r="FC1345" s="46"/>
      <c r="FD1345" s="46"/>
      <c r="FE1345" s="46"/>
      <c r="FF1345" s="46"/>
      <c r="FG1345" s="46"/>
      <c r="FH1345" s="46"/>
      <c r="FI1345" s="46"/>
      <c r="FJ1345" s="46"/>
      <c r="FK1345" s="46"/>
      <c r="FL1345" s="46"/>
      <c r="FM1345" s="46"/>
      <c r="FN1345" s="46"/>
      <c r="FO1345" s="46"/>
      <c r="FP1345" s="46"/>
      <c r="FQ1345" s="46"/>
      <c r="FR1345" s="46"/>
      <c r="FS1345" s="46"/>
      <c r="FT1345" s="46"/>
      <c r="FU1345" s="46"/>
      <c r="FV1345" s="46"/>
      <c r="FW1345" s="46"/>
      <c r="FX1345" s="46"/>
      <c r="FY1345" s="46"/>
      <c r="FZ1345" s="46"/>
      <c r="GA1345" s="46"/>
      <c r="GB1345" s="46"/>
      <c r="GC1345" s="46"/>
      <c r="GD1345" s="46"/>
      <c r="GE1345" s="46"/>
      <c r="GF1345" s="46"/>
      <c r="GG1345" s="46"/>
      <c r="GH1345" s="46"/>
      <c r="GI1345" s="46"/>
      <c r="GJ1345" s="46"/>
      <c r="GK1345" s="46"/>
      <c r="GL1345" s="46"/>
      <c r="GM1345" s="46"/>
      <c r="GN1345" s="46"/>
      <c r="GO1345" s="46"/>
      <c r="GP1345" s="46"/>
      <c r="GQ1345" s="46"/>
      <c r="GR1345" s="46"/>
      <c r="GS1345" s="46"/>
      <c r="GT1345" s="46"/>
      <c r="GU1345" s="46"/>
    </row>
    <row r="1346" spans="1:203" s="58" customFormat="1" ht="30" hidden="1" customHeight="1" outlineLevel="1" x14ac:dyDescent="0.4">
      <c r="A1346" s="54"/>
      <c r="B1346" s="48" t="s">
        <v>73</v>
      </c>
      <c r="C1346" s="49" t="s">
        <v>74</v>
      </c>
      <c r="D1346" s="68">
        <f>3.31*D1345</f>
        <v>21.0185</v>
      </c>
      <c r="E1346" s="69">
        <v>2.1000000000000001E-2</v>
      </c>
      <c r="F1346" s="57"/>
    </row>
    <row r="1347" spans="1:203" s="45" customFormat="1" ht="36" customHeight="1" collapsed="1" x14ac:dyDescent="0.35">
      <c r="A1347" s="24">
        <f>A1345+1</f>
        <v>566</v>
      </c>
      <c r="B1347" s="59" t="s">
        <v>75</v>
      </c>
      <c r="C1347" s="26" t="s">
        <v>29</v>
      </c>
      <c r="D1347" s="104">
        <f>3.13+3.22</f>
        <v>6.35</v>
      </c>
      <c r="E1347" s="41"/>
      <c r="F1347" s="42"/>
      <c r="G1347" s="43"/>
      <c r="H1347" s="44"/>
      <c r="I1347" s="43"/>
      <c r="J1347" s="43"/>
      <c r="N1347" s="44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  <c r="CZ1347" s="46"/>
      <c r="DA1347" s="46"/>
      <c r="DB1347" s="46"/>
      <c r="DC1347" s="46"/>
      <c r="DD1347" s="46"/>
      <c r="DE1347" s="46"/>
      <c r="DF1347" s="46"/>
      <c r="DG1347" s="46"/>
      <c r="DH1347" s="46"/>
      <c r="DI1347" s="46"/>
      <c r="DJ1347" s="46"/>
      <c r="DK1347" s="46"/>
      <c r="DL1347" s="46"/>
      <c r="DM1347" s="46"/>
      <c r="DN1347" s="46"/>
      <c r="DO1347" s="46"/>
      <c r="DP1347" s="46"/>
      <c r="DQ1347" s="46"/>
      <c r="DR1347" s="46"/>
      <c r="DS1347" s="46"/>
      <c r="DT1347" s="46"/>
      <c r="DU1347" s="46"/>
      <c r="DV1347" s="46"/>
      <c r="DW1347" s="46"/>
      <c r="DX1347" s="46"/>
      <c r="DY1347" s="46"/>
      <c r="DZ1347" s="46"/>
      <c r="EA1347" s="46"/>
      <c r="EB1347" s="46"/>
      <c r="EC1347" s="46"/>
      <c r="ED1347" s="46"/>
      <c r="EE1347" s="46"/>
      <c r="EF1347" s="46"/>
      <c r="EG1347" s="46"/>
      <c r="EH1347" s="46"/>
      <c r="EI1347" s="46"/>
      <c r="EJ1347" s="46"/>
      <c r="EK1347" s="46"/>
      <c r="EL1347" s="46"/>
      <c r="EM1347" s="46"/>
      <c r="EN1347" s="46"/>
      <c r="EO1347" s="46"/>
      <c r="EP1347" s="46"/>
      <c r="EQ1347" s="46"/>
      <c r="ER1347" s="46"/>
      <c r="ES1347" s="46"/>
      <c r="ET1347" s="46"/>
      <c r="EU1347" s="46"/>
      <c r="EV1347" s="46"/>
      <c r="EW1347" s="46"/>
      <c r="EX1347" s="46"/>
      <c r="EY1347" s="46"/>
      <c r="EZ1347" s="46"/>
      <c r="FA1347" s="46"/>
      <c r="FB1347" s="46"/>
      <c r="FC1347" s="46"/>
      <c r="FD1347" s="46"/>
      <c r="FE1347" s="46"/>
      <c r="FF1347" s="46"/>
      <c r="FG1347" s="46"/>
      <c r="FH1347" s="46"/>
      <c r="FI1347" s="46"/>
      <c r="FJ1347" s="46"/>
      <c r="FK1347" s="46"/>
      <c r="FL1347" s="46"/>
      <c r="FM1347" s="46"/>
      <c r="FN1347" s="46"/>
      <c r="FO1347" s="46"/>
      <c r="FP1347" s="46"/>
      <c r="FQ1347" s="46"/>
      <c r="FR1347" s="46"/>
      <c r="FS1347" s="46"/>
      <c r="FT1347" s="46"/>
      <c r="FU1347" s="46"/>
      <c r="FV1347" s="46"/>
      <c r="FW1347" s="46"/>
      <c r="FX1347" s="46"/>
      <c r="FY1347" s="46"/>
      <c r="FZ1347" s="46"/>
      <c r="GA1347" s="46"/>
      <c r="GB1347" s="46"/>
      <c r="GC1347" s="46"/>
      <c r="GD1347" s="46"/>
      <c r="GE1347" s="46"/>
      <c r="GF1347" s="46"/>
      <c r="GG1347" s="46"/>
      <c r="GH1347" s="46"/>
      <c r="GI1347" s="46"/>
      <c r="GJ1347" s="46"/>
      <c r="GK1347" s="46"/>
      <c r="GL1347" s="46"/>
      <c r="GM1347" s="46"/>
      <c r="GN1347" s="46"/>
      <c r="GO1347" s="46"/>
      <c r="GP1347" s="46"/>
      <c r="GQ1347" s="46"/>
      <c r="GR1347" s="46"/>
      <c r="GS1347" s="46"/>
      <c r="GT1347" s="46"/>
      <c r="GU1347" s="46"/>
    </row>
    <row r="1348" spans="1:203" s="45" customFormat="1" ht="36" customHeight="1" x14ac:dyDescent="0.35">
      <c r="A1348" s="24">
        <f>A1347+1</f>
        <v>567</v>
      </c>
      <c r="B1348" s="59" t="s">
        <v>76</v>
      </c>
      <c r="C1348" s="26" t="s">
        <v>29</v>
      </c>
      <c r="D1348" s="104">
        <f>3.13+3.22</f>
        <v>6.35</v>
      </c>
      <c r="E1348" s="41"/>
      <c r="F1348" s="42"/>
      <c r="G1348" s="43"/>
      <c r="H1348" s="44"/>
      <c r="I1348" s="43"/>
      <c r="J1348" s="43"/>
      <c r="N1348" s="44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  <c r="CZ1348" s="46"/>
      <c r="DA1348" s="46"/>
      <c r="DB1348" s="46"/>
      <c r="DC1348" s="46"/>
      <c r="DD1348" s="46"/>
      <c r="DE1348" s="46"/>
      <c r="DF1348" s="46"/>
      <c r="DG1348" s="46"/>
      <c r="DH1348" s="46"/>
      <c r="DI1348" s="46"/>
      <c r="DJ1348" s="46"/>
      <c r="DK1348" s="46"/>
      <c r="DL1348" s="46"/>
      <c r="DM1348" s="46"/>
      <c r="DN1348" s="46"/>
      <c r="DO1348" s="46"/>
      <c r="DP1348" s="46"/>
      <c r="DQ1348" s="46"/>
      <c r="DR1348" s="46"/>
      <c r="DS1348" s="46"/>
      <c r="DT1348" s="46"/>
      <c r="DU1348" s="46"/>
      <c r="DV1348" s="46"/>
      <c r="DW1348" s="46"/>
      <c r="DX1348" s="46"/>
      <c r="DY1348" s="46"/>
      <c r="DZ1348" s="46"/>
      <c r="EA1348" s="46"/>
      <c r="EB1348" s="46"/>
      <c r="EC1348" s="46"/>
      <c r="ED1348" s="46"/>
      <c r="EE1348" s="46"/>
      <c r="EF1348" s="46"/>
      <c r="EG1348" s="46"/>
      <c r="EH1348" s="46"/>
      <c r="EI1348" s="46"/>
      <c r="EJ1348" s="46"/>
      <c r="EK1348" s="46"/>
      <c r="EL1348" s="46"/>
      <c r="EM1348" s="46"/>
      <c r="EN1348" s="46"/>
      <c r="EO1348" s="46"/>
      <c r="EP1348" s="46"/>
      <c r="EQ1348" s="46"/>
      <c r="ER1348" s="46"/>
      <c r="ES1348" s="46"/>
      <c r="ET1348" s="46"/>
      <c r="EU1348" s="46"/>
      <c r="EV1348" s="46"/>
      <c r="EW1348" s="46"/>
      <c r="EX1348" s="46"/>
      <c r="EY1348" s="46"/>
      <c r="EZ1348" s="46"/>
      <c r="FA1348" s="46"/>
      <c r="FB1348" s="46"/>
      <c r="FC1348" s="46"/>
      <c r="FD1348" s="46"/>
      <c r="FE1348" s="46"/>
      <c r="FF1348" s="46"/>
      <c r="FG1348" s="46"/>
      <c r="FH1348" s="46"/>
      <c r="FI1348" s="46"/>
      <c r="FJ1348" s="46"/>
      <c r="FK1348" s="46"/>
      <c r="FL1348" s="46"/>
      <c r="FM1348" s="46"/>
      <c r="FN1348" s="46"/>
      <c r="FO1348" s="46"/>
      <c r="FP1348" s="46"/>
      <c r="FQ1348" s="46"/>
      <c r="FR1348" s="46"/>
      <c r="FS1348" s="46"/>
      <c r="FT1348" s="46"/>
      <c r="FU1348" s="46"/>
      <c r="FV1348" s="46"/>
      <c r="FW1348" s="46"/>
      <c r="FX1348" s="46"/>
      <c r="FY1348" s="46"/>
      <c r="FZ1348" s="46"/>
      <c r="GA1348" s="46"/>
      <c r="GB1348" s="46"/>
      <c r="GC1348" s="46"/>
      <c r="GD1348" s="46"/>
      <c r="GE1348" s="46"/>
      <c r="GF1348" s="46"/>
      <c r="GG1348" s="46"/>
      <c r="GH1348" s="46"/>
      <c r="GI1348" s="46"/>
      <c r="GJ1348" s="46"/>
      <c r="GK1348" s="46"/>
      <c r="GL1348" s="46"/>
      <c r="GM1348" s="46"/>
      <c r="GN1348" s="46"/>
      <c r="GO1348" s="46"/>
      <c r="GP1348" s="46"/>
      <c r="GQ1348" s="46"/>
      <c r="GR1348" s="46"/>
      <c r="GS1348" s="46"/>
      <c r="GT1348" s="46"/>
      <c r="GU1348" s="46"/>
    </row>
    <row r="1349" spans="1:203" s="58" customFormat="1" ht="30" customHeight="1" x14ac:dyDescent="0.4">
      <c r="A1349" s="24">
        <f>A1348+1</f>
        <v>568</v>
      </c>
      <c r="B1349" s="59" t="s">
        <v>77</v>
      </c>
      <c r="C1349" s="70" t="s">
        <v>29</v>
      </c>
      <c r="D1349" s="104">
        <f>3.13+3.22</f>
        <v>6.35</v>
      </c>
      <c r="E1349" s="66"/>
      <c r="F1349" s="57"/>
    </row>
    <row r="1350" spans="1:203" s="58" customFormat="1" ht="30" hidden="1" customHeight="1" outlineLevel="1" x14ac:dyDescent="0.4">
      <c r="A1350" s="54"/>
      <c r="B1350" s="48" t="s">
        <v>78</v>
      </c>
      <c r="C1350" s="49" t="s">
        <v>74</v>
      </c>
      <c r="D1350" s="68">
        <f>D1349*0.255</f>
        <v>1.6192499999999999</v>
      </c>
      <c r="E1350" s="69">
        <v>1E-3</v>
      </c>
      <c r="F1350" s="57"/>
    </row>
    <row r="1351" spans="1:203" s="58" customFormat="1" ht="30" customHeight="1" collapsed="1" x14ac:dyDescent="0.4">
      <c r="A1351" s="24">
        <f>A1349+1</f>
        <v>569</v>
      </c>
      <c r="B1351" s="59" t="s">
        <v>79</v>
      </c>
      <c r="C1351" s="70" t="s">
        <v>29</v>
      </c>
      <c r="D1351" s="104">
        <f>3.13+3.22</f>
        <v>6.35</v>
      </c>
      <c r="E1351" s="66"/>
      <c r="F1351" s="57"/>
    </row>
    <row r="1352" spans="1:203" s="58" customFormat="1" ht="30" hidden="1" customHeight="1" outlineLevel="1" x14ac:dyDescent="0.4">
      <c r="A1352" s="54"/>
      <c r="B1352" s="48" t="s">
        <v>80</v>
      </c>
      <c r="C1352" s="49" t="s">
        <v>74</v>
      </c>
      <c r="D1352" s="68">
        <f>D1351*0.36*2</f>
        <v>4.5719999999999992</v>
      </c>
      <c r="E1352" s="69">
        <v>5.0000000000000001E-3</v>
      </c>
      <c r="F1352" s="57"/>
    </row>
    <row r="1353" spans="1:203" s="58" customFormat="1" ht="30" customHeight="1" collapsed="1" x14ac:dyDescent="0.4">
      <c r="A1353" s="24">
        <f>A1351+1</f>
        <v>570</v>
      </c>
      <c r="B1353" s="59" t="s">
        <v>368</v>
      </c>
      <c r="C1353" s="70" t="s">
        <v>58</v>
      </c>
      <c r="D1353" s="40">
        <v>6</v>
      </c>
      <c r="E1353" s="66"/>
      <c r="F1353" s="57"/>
    </row>
    <row r="1354" spans="1:203" s="58" customFormat="1" ht="30" hidden="1" customHeight="1" outlineLevel="1" x14ac:dyDescent="0.4">
      <c r="A1354" s="54"/>
      <c r="B1354" s="48" t="s">
        <v>555</v>
      </c>
      <c r="C1354" s="49" t="s">
        <v>58</v>
      </c>
      <c r="D1354" s="75">
        <v>3</v>
      </c>
      <c r="E1354" s="51"/>
      <c r="F1354" s="57"/>
    </row>
    <row r="1355" spans="1:203" s="58" customFormat="1" ht="30" hidden="1" customHeight="1" outlineLevel="1" x14ac:dyDescent="0.4">
      <c r="A1355" s="54"/>
      <c r="B1355" s="48" t="s">
        <v>557</v>
      </c>
      <c r="C1355" s="49" t="s">
        <v>58</v>
      </c>
      <c r="D1355" s="75">
        <v>3</v>
      </c>
      <c r="E1355" s="51"/>
      <c r="F1355" s="57"/>
    </row>
    <row r="1356" spans="1:203" s="58" customFormat="1" ht="46.3" collapsed="1" x14ac:dyDescent="0.4">
      <c r="A1356" s="24">
        <f>A1353+1</f>
        <v>571</v>
      </c>
      <c r="B1356" s="59" t="s">
        <v>364</v>
      </c>
      <c r="C1356" s="70" t="s">
        <v>19</v>
      </c>
      <c r="D1356" s="67">
        <v>0.72499999999999998</v>
      </c>
      <c r="E1356" s="66"/>
      <c r="F1356" s="57"/>
    </row>
    <row r="1357" spans="1:203" s="58" customFormat="1" ht="30.9" hidden="1" outlineLevel="1" x14ac:dyDescent="0.4">
      <c r="A1357" s="54"/>
      <c r="B1357" s="48" t="s">
        <v>365</v>
      </c>
      <c r="C1357" s="49" t="s">
        <v>19</v>
      </c>
      <c r="D1357" s="68">
        <v>0.72499999999999998</v>
      </c>
      <c r="E1357" s="69">
        <v>1E-3</v>
      </c>
      <c r="F1357" s="57"/>
      <c r="J1357" s="58">
        <v>1.08</v>
      </c>
    </row>
    <row r="1358" spans="1:203" s="58" customFormat="1" ht="30" customHeight="1" collapsed="1" x14ac:dyDescent="0.4">
      <c r="A1358" s="24">
        <f>A1356+1</f>
        <v>572</v>
      </c>
      <c r="B1358" s="59" t="s">
        <v>366</v>
      </c>
      <c r="C1358" s="70" t="s">
        <v>29</v>
      </c>
      <c r="D1358" s="67">
        <v>11.6</v>
      </c>
      <c r="E1358" s="66"/>
      <c r="F1358" s="57"/>
    </row>
    <row r="1359" spans="1:203" s="58" customFormat="1" ht="30" hidden="1" customHeight="1" outlineLevel="1" x14ac:dyDescent="0.4">
      <c r="A1359" s="54"/>
      <c r="B1359" s="48" t="s">
        <v>367</v>
      </c>
      <c r="C1359" s="49" t="s">
        <v>29</v>
      </c>
      <c r="D1359" s="68">
        <v>11.6</v>
      </c>
      <c r="E1359" s="69"/>
      <c r="F1359" s="57"/>
      <c r="J1359" s="58">
        <v>1.22</v>
      </c>
    </row>
    <row r="1360" spans="1:203" s="45" customFormat="1" ht="31" customHeight="1" collapsed="1" x14ac:dyDescent="0.35">
      <c r="A1360" s="24">
        <f>A1358+1</f>
        <v>573</v>
      </c>
      <c r="B1360" s="25" t="s">
        <v>562</v>
      </c>
      <c r="C1360" s="70" t="s">
        <v>561</v>
      </c>
      <c r="D1360" s="26">
        <v>34</v>
      </c>
      <c r="E1360" s="41"/>
      <c r="F1360" s="42"/>
      <c r="G1360" s="43"/>
      <c r="H1360" s="44"/>
      <c r="I1360" s="43"/>
      <c r="J1360" s="43"/>
      <c r="N1360" s="44"/>
      <c r="AC1360" s="46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  <c r="BP1360" s="46"/>
      <c r="BQ1360" s="46"/>
      <c r="BR1360" s="46"/>
      <c r="BS1360" s="46"/>
      <c r="BT1360" s="46"/>
      <c r="BU1360" s="46"/>
      <c r="BV1360" s="46"/>
      <c r="BW1360" s="46"/>
      <c r="BX1360" s="46"/>
      <c r="BY1360" s="46"/>
      <c r="BZ1360" s="46"/>
      <c r="CA1360" s="46"/>
      <c r="CB1360" s="46"/>
      <c r="CC1360" s="46"/>
      <c r="CD1360" s="46"/>
      <c r="CE1360" s="46"/>
      <c r="CF1360" s="46"/>
      <c r="CG1360" s="46"/>
      <c r="CH1360" s="46"/>
      <c r="CI1360" s="46"/>
      <c r="CJ1360" s="46"/>
      <c r="CK1360" s="46"/>
      <c r="CL1360" s="46"/>
      <c r="CM1360" s="46"/>
      <c r="CN1360" s="46"/>
      <c r="CO1360" s="46"/>
      <c r="CP1360" s="46"/>
      <c r="CQ1360" s="46"/>
      <c r="CR1360" s="46"/>
      <c r="CS1360" s="46"/>
      <c r="CT1360" s="46"/>
      <c r="CU1360" s="46"/>
      <c r="CV1360" s="46"/>
      <c r="CW1360" s="46"/>
      <c r="CX1360" s="46"/>
      <c r="CY1360" s="46"/>
      <c r="CZ1360" s="46"/>
      <c r="DA1360" s="46"/>
      <c r="DB1360" s="46"/>
      <c r="DC1360" s="46"/>
      <c r="DD1360" s="46"/>
      <c r="DE1360" s="46"/>
      <c r="DF1360" s="46"/>
      <c r="DG1360" s="46"/>
      <c r="DH1360" s="46"/>
      <c r="DI1360" s="46"/>
      <c r="DJ1360" s="46"/>
      <c r="DK1360" s="46"/>
      <c r="DL1360" s="46"/>
      <c r="DM1360" s="46"/>
      <c r="DN1360" s="46"/>
      <c r="DO1360" s="46"/>
      <c r="DP1360" s="46"/>
      <c r="DQ1360" s="46"/>
      <c r="DR1360" s="46"/>
      <c r="DS1360" s="46"/>
      <c r="DT1360" s="46"/>
      <c r="DU1360" s="46"/>
      <c r="DV1360" s="46"/>
      <c r="DW1360" s="46"/>
      <c r="DX1360" s="46"/>
      <c r="DY1360" s="46"/>
      <c r="DZ1360" s="46"/>
      <c r="EA1360" s="46"/>
      <c r="EB1360" s="46"/>
      <c r="EC1360" s="46"/>
      <c r="ED1360" s="46"/>
      <c r="EE1360" s="46"/>
      <c r="EF1360" s="46"/>
      <c r="EG1360" s="46"/>
      <c r="EH1360" s="46"/>
      <c r="EI1360" s="46"/>
      <c r="EJ1360" s="46"/>
      <c r="EK1360" s="46"/>
      <c r="EL1360" s="46"/>
      <c r="EM1360" s="46"/>
      <c r="EN1360" s="46"/>
      <c r="EO1360" s="46"/>
      <c r="EP1360" s="46"/>
      <c r="EQ1360" s="46"/>
      <c r="ER1360" s="46"/>
      <c r="ES1360" s="46"/>
      <c r="ET1360" s="46"/>
      <c r="EU1360" s="46"/>
      <c r="EV1360" s="46"/>
      <c r="EW1360" s="46"/>
      <c r="EX1360" s="46"/>
      <c r="EY1360" s="46"/>
      <c r="EZ1360" s="46"/>
      <c r="FA1360" s="46"/>
      <c r="FB1360" s="46"/>
      <c r="FC1360" s="46"/>
      <c r="FD1360" s="46"/>
      <c r="FE1360" s="46"/>
      <c r="FF1360" s="46"/>
      <c r="FG1360" s="46"/>
      <c r="FH1360" s="46"/>
      <c r="FI1360" s="46"/>
      <c r="FJ1360" s="46"/>
      <c r="FK1360" s="46"/>
      <c r="FL1360" s="46"/>
      <c r="FM1360" s="46"/>
      <c r="FN1360" s="46"/>
      <c r="FO1360" s="46"/>
      <c r="FP1360" s="46"/>
      <c r="FQ1360" s="46"/>
      <c r="FR1360" s="46"/>
      <c r="FS1360" s="46"/>
      <c r="FT1360" s="46"/>
      <c r="FU1360" s="46"/>
      <c r="FV1360" s="46"/>
      <c r="FW1360" s="46"/>
      <c r="FX1360" s="46"/>
      <c r="FY1360" s="46"/>
      <c r="FZ1360" s="46"/>
      <c r="GA1360" s="46"/>
      <c r="GB1360" s="46"/>
      <c r="GC1360" s="46"/>
      <c r="GD1360" s="46"/>
      <c r="GE1360" s="46"/>
      <c r="GF1360" s="46"/>
      <c r="GG1360" s="46"/>
      <c r="GH1360" s="46"/>
      <c r="GI1360" s="46"/>
      <c r="GJ1360" s="46"/>
      <c r="GK1360" s="46"/>
      <c r="GL1360" s="46"/>
      <c r="GM1360" s="46"/>
      <c r="GN1360" s="46"/>
      <c r="GO1360" s="46"/>
      <c r="GP1360" s="46"/>
      <c r="GQ1360" s="46"/>
      <c r="GR1360" s="46"/>
      <c r="GS1360" s="46"/>
      <c r="GT1360" s="46"/>
      <c r="GU1360" s="46"/>
    </row>
    <row r="1361" spans="1:203" s="45" customFormat="1" ht="31" customHeight="1" x14ac:dyDescent="0.35">
      <c r="A1361" s="24">
        <f>A1360+1</f>
        <v>574</v>
      </c>
      <c r="B1361" s="25" t="s">
        <v>563</v>
      </c>
      <c r="C1361" s="70" t="s">
        <v>561</v>
      </c>
      <c r="D1361" s="26">
        <v>13</v>
      </c>
      <c r="E1361" s="41"/>
      <c r="F1361" s="42"/>
      <c r="G1361" s="43"/>
      <c r="H1361" s="44"/>
      <c r="I1361" s="43"/>
      <c r="J1361" s="43"/>
      <c r="N1361" s="44"/>
      <c r="AC1361" s="46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  <c r="BP1361" s="46"/>
      <c r="BQ1361" s="46"/>
      <c r="BR1361" s="46"/>
      <c r="BS1361" s="46"/>
      <c r="BT1361" s="46"/>
      <c r="BU1361" s="46"/>
      <c r="BV1361" s="46"/>
      <c r="BW1361" s="46"/>
      <c r="BX1361" s="46"/>
      <c r="BY1361" s="46"/>
      <c r="BZ1361" s="46"/>
      <c r="CA1361" s="46"/>
      <c r="CB1361" s="46"/>
      <c r="CC1361" s="46"/>
      <c r="CD1361" s="46"/>
      <c r="CE1361" s="46"/>
      <c r="CF1361" s="46"/>
      <c r="CG1361" s="46"/>
      <c r="CH1361" s="46"/>
      <c r="CI1361" s="46"/>
      <c r="CJ1361" s="46"/>
      <c r="CK1361" s="46"/>
      <c r="CL1361" s="46"/>
      <c r="CM1361" s="46"/>
      <c r="CN1361" s="46"/>
      <c r="CO1361" s="46"/>
      <c r="CP1361" s="46"/>
      <c r="CQ1361" s="46"/>
      <c r="CR1361" s="46"/>
      <c r="CS1361" s="46"/>
      <c r="CT1361" s="46"/>
      <c r="CU1361" s="46"/>
      <c r="CV1361" s="46"/>
      <c r="CW1361" s="46"/>
      <c r="CX1361" s="46"/>
      <c r="CY1361" s="46"/>
      <c r="CZ1361" s="46"/>
      <c r="DA1361" s="46"/>
      <c r="DB1361" s="46"/>
      <c r="DC1361" s="46"/>
      <c r="DD1361" s="46"/>
      <c r="DE1361" s="46"/>
      <c r="DF1361" s="46"/>
      <c r="DG1361" s="46"/>
      <c r="DH1361" s="46"/>
      <c r="DI1361" s="46"/>
      <c r="DJ1361" s="46"/>
      <c r="DK1361" s="46"/>
      <c r="DL1361" s="46"/>
      <c r="DM1361" s="46"/>
      <c r="DN1361" s="46"/>
      <c r="DO1361" s="46"/>
      <c r="DP1361" s="46"/>
      <c r="DQ1361" s="46"/>
      <c r="DR1361" s="46"/>
      <c r="DS1361" s="46"/>
      <c r="DT1361" s="46"/>
      <c r="DU1361" s="46"/>
      <c r="DV1361" s="46"/>
      <c r="DW1361" s="46"/>
      <c r="DX1361" s="46"/>
      <c r="DY1361" s="46"/>
      <c r="DZ1361" s="46"/>
      <c r="EA1361" s="46"/>
      <c r="EB1361" s="46"/>
      <c r="EC1361" s="46"/>
      <c r="ED1361" s="46"/>
      <c r="EE1361" s="46"/>
      <c r="EF1361" s="46"/>
      <c r="EG1361" s="46"/>
      <c r="EH1361" s="46"/>
      <c r="EI1361" s="46"/>
      <c r="EJ1361" s="46"/>
      <c r="EK1361" s="46"/>
      <c r="EL1361" s="46"/>
      <c r="EM1361" s="46"/>
      <c r="EN1361" s="46"/>
      <c r="EO1361" s="46"/>
      <c r="EP1361" s="46"/>
      <c r="EQ1361" s="46"/>
      <c r="ER1361" s="46"/>
      <c r="ES1361" s="46"/>
      <c r="ET1361" s="46"/>
      <c r="EU1361" s="46"/>
      <c r="EV1361" s="46"/>
      <c r="EW1361" s="46"/>
      <c r="EX1361" s="46"/>
      <c r="EY1361" s="46"/>
      <c r="EZ1361" s="46"/>
      <c r="FA1361" s="46"/>
      <c r="FB1361" s="46"/>
      <c r="FC1361" s="46"/>
      <c r="FD1361" s="46"/>
      <c r="FE1361" s="46"/>
      <c r="FF1361" s="46"/>
      <c r="FG1361" s="46"/>
      <c r="FH1361" s="46"/>
      <c r="FI1361" s="46"/>
      <c r="FJ1361" s="46"/>
      <c r="FK1361" s="46"/>
      <c r="FL1361" s="46"/>
      <c r="FM1361" s="46"/>
      <c r="FN1361" s="46"/>
      <c r="FO1361" s="46"/>
      <c r="FP1361" s="46"/>
      <c r="FQ1361" s="46"/>
      <c r="FR1361" s="46"/>
      <c r="FS1361" s="46"/>
      <c r="FT1361" s="46"/>
      <c r="FU1361" s="46"/>
      <c r="FV1361" s="46"/>
      <c r="FW1361" s="46"/>
      <c r="FX1361" s="46"/>
      <c r="FY1361" s="46"/>
      <c r="FZ1361" s="46"/>
      <c r="GA1361" s="46"/>
      <c r="GB1361" s="46"/>
      <c r="GC1361" s="46"/>
      <c r="GD1361" s="46"/>
      <c r="GE1361" s="46"/>
      <c r="GF1361" s="46"/>
      <c r="GG1361" s="46"/>
      <c r="GH1361" s="46"/>
      <c r="GI1361" s="46"/>
      <c r="GJ1361" s="46"/>
      <c r="GK1361" s="46"/>
      <c r="GL1361" s="46"/>
      <c r="GM1361" s="46"/>
      <c r="GN1361" s="46"/>
      <c r="GO1361" s="46"/>
      <c r="GP1361" s="46"/>
      <c r="GQ1361" s="46"/>
      <c r="GR1361" s="46"/>
      <c r="GS1361" s="46"/>
      <c r="GT1361" s="46"/>
      <c r="GU1361" s="46"/>
    </row>
    <row r="1362" spans="1:203" ht="31" customHeight="1" x14ac:dyDescent="0.35">
      <c r="A1362" s="24">
        <f t="shared" ref="A1362:A1365" si="7">A1361+1</f>
        <v>575</v>
      </c>
      <c r="B1362" s="25" t="s">
        <v>566</v>
      </c>
      <c r="C1362" s="70" t="s">
        <v>561</v>
      </c>
      <c r="D1362" s="26">
        <v>34</v>
      </c>
      <c r="E1362" s="41"/>
      <c r="F1362" s="42"/>
    </row>
    <row r="1363" spans="1:203" ht="31" customHeight="1" x14ac:dyDescent="0.35">
      <c r="A1363" s="24">
        <f t="shared" si="7"/>
        <v>576</v>
      </c>
      <c r="B1363" s="25" t="s">
        <v>567</v>
      </c>
      <c r="C1363" s="70" t="s">
        <v>561</v>
      </c>
      <c r="D1363" s="26">
        <v>13</v>
      </c>
      <c r="E1363" s="41"/>
      <c r="F1363" s="42"/>
    </row>
    <row r="1364" spans="1:203" ht="31" customHeight="1" x14ac:dyDescent="0.35">
      <c r="A1364" s="24">
        <f t="shared" si="7"/>
        <v>577</v>
      </c>
      <c r="B1364" s="25" t="s">
        <v>571</v>
      </c>
      <c r="C1364" s="89" t="s">
        <v>570</v>
      </c>
      <c r="D1364" s="26">
        <v>68</v>
      </c>
      <c r="E1364" s="41"/>
      <c r="F1364" s="42"/>
    </row>
    <row r="1365" spans="1:203" ht="31" customHeight="1" x14ac:dyDescent="0.35">
      <c r="A1365" s="24">
        <f t="shared" si="7"/>
        <v>578</v>
      </c>
      <c r="B1365" s="25" t="s">
        <v>572</v>
      </c>
      <c r="C1365" s="89" t="s">
        <v>570</v>
      </c>
      <c r="D1365" s="26">
        <v>26</v>
      </c>
      <c r="E1365" s="41"/>
      <c r="F1365" s="42"/>
    </row>
    <row r="1366" spans="1:203" s="39" customFormat="1" ht="21" customHeight="1" x14ac:dyDescent="0.35">
      <c r="A1366" s="158" t="s">
        <v>683</v>
      </c>
      <c r="B1366" s="158"/>
      <c r="C1366" s="158"/>
      <c r="D1366" s="158"/>
      <c r="E1366" s="158"/>
      <c r="F1366" s="34"/>
      <c r="G1366" s="35"/>
      <c r="H1366" s="36"/>
      <c r="I1366" s="37"/>
      <c r="J1366" s="37"/>
      <c r="K1366" s="38"/>
      <c r="L1366" s="38"/>
      <c r="M1366" s="38"/>
      <c r="N1366" s="36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</row>
    <row r="1367" spans="1:203" s="58" customFormat="1" ht="30" customHeight="1" x14ac:dyDescent="0.4">
      <c r="A1367" s="72">
        <f>A1365+1</f>
        <v>579</v>
      </c>
      <c r="B1367" s="25" t="s">
        <v>308</v>
      </c>
      <c r="C1367" s="89" t="s">
        <v>19</v>
      </c>
      <c r="D1367" s="105">
        <f>0.7*0.5*36.4</f>
        <v>12.739999999999998</v>
      </c>
      <c r="E1367" s="91"/>
      <c r="F1367" s="57"/>
    </row>
    <row r="1368" spans="1:203" s="58" customFormat="1" ht="30" customHeight="1" x14ac:dyDescent="0.4">
      <c r="A1368" s="72">
        <f>A1367+1</f>
        <v>580</v>
      </c>
      <c r="B1368" s="25" t="s">
        <v>309</v>
      </c>
      <c r="C1368" s="89" t="s">
        <v>19</v>
      </c>
      <c r="D1368" s="105">
        <f>0.7*0.5*36.4</f>
        <v>12.739999999999998</v>
      </c>
      <c r="E1368" s="91"/>
      <c r="F1368" s="57"/>
    </row>
    <row r="1369" spans="1:203" s="58" customFormat="1" ht="30" customHeight="1" x14ac:dyDescent="0.4">
      <c r="A1369" s="24">
        <f>A1368+1</f>
        <v>581</v>
      </c>
      <c r="B1369" s="25" t="s">
        <v>310</v>
      </c>
      <c r="C1369" s="89" t="s">
        <v>19</v>
      </c>
      <c r="D1369" s="105">
        <f>0.7*0.5*36.4</f>
        <v>12.739999999999998</v>
      </c>
      <c r="E1369" s="91"/>
      <c r="F1369" s="57"/>
    </row>
    <row r="1370" spans="1:203" s="58" customFormat="1" ht="30" customHeight="1" x14ac:dyDescent="0.4">
      <c r="A1370" s="24">
        <f>A1369+1</f>
        <v>582</v>
      </c>
      <c r="B1370" s="59" t="s">
        <v>403</v>
      </c>
      <c r="C1370" s="70" t="s">
        <v>132</v>
      </c>
      <c r="D1370" s="40">
        <v>36.4</v>
      </c>
      <c r="E1370" s="66"/>
      <c r="F1370" s="57"/>
    </row>
    <row r="1371" spans="1:203" s="58" customFormat="1" ht="30" hidden="1" customHeight="1" outlineLevel="1" x14ac:dyDescent="0.4">
      <c r="A1371" s="54"/>
      <c r="B1371" s="48" t="s">
        <v>404</v>
      </c>
      <c r="C1371" s="49" t="s">
        <v>14</v>
      </c>
      <c r="D1371" s="65">
        <f>36.4*1.26/1000</f>
        <v>4.5863999999999995E-2</v>
      </c>
      <c r="E1371" s="51">
        <v>4.5999999999999999E-2</v>
      </c>
      <c r="F1371" s="57"/>
    </row>
    <row r="1372" spans="1:203" ht="36" customHeight="1" collapsed="1" x14ac:dyDescent="0.35">
      <c r="A1372" s="24">
        <f>A1370+1</f>
        <v>583</v>
      </c>
      <c r="B1372" s="59" t="s">
        <v>405</v>
      </c>
      <c r="C1372" s="26" t="s">
        <v>58</v>
      </c>
      <c r="D1372" s="82">
        <v>4</v>
      </c>
      <c r="E1372" s="41"/>
      <c r="F1372" s="42"/>
    </row>
    <row r="1373" spans="1:203" s="58" customFormat="1" ht="30" hidden="1" customHeight="1" outlineLevel="1" x14ac:dyDescent="0.4">
      <c r="A1373" s="54"/>
      <c r="B1373" s="48" t="s">
        <v>406</v>
      </c>
      <c r="C1373" s="49" t="s">
        <v>14</v>
      </c>
      <c r="D1373" s="65">
        <f>20*1.58/1000</f>
        <v>3.1600000000000003E-2</v>
      </c>
      <c r="E1373" s="51">
        <v>3.2000000000000001E-2</v>
      </c>
      <c r="F1373" s="57"/>
    </row>
    <row r="1374" spans="1:203" s="58" customFormat="1" ht="30" customHeight="1" collapsed="1" x14ac:dyDescent="0.4">
      <c r="A1374" s="24">
        <f>A1372+1</f>
        <v>584</v>
      </c>
      <c r="B1374" s="71" t="s">
        <v>315</v>
      </c>
      <c r="C1374" s="40" t="s">
        <v>132</v>
      </c>
      <c r="D1374" s="67">
        <v>98.6</v>
      </c>
      <c r="E1374" s="66"/>
      <c r="F1374" s="57"/>
    </row>
    <row r="1375" spans="1:203" s="58" customFormat="1" ht="30" hidden="1" customHeight="1" outlineLevel="1" x14ac:dyDescent="0.4">
      <c r="A1375" s="87"/>
      <c r="B1375" s="48" t="s">
        <v>314</v>
      </c>
      <c r="C1375" s="75" t="s">
        <v>14</v>
      </c>
      <c r="D1375" s="65">
        <f>98.6*1.26/1000</f>
        <v>0.12423599999999999</v>
      </c>
      <c r="E1375" s="88">
        <v>0.124</v>
      </c>
      <c r="F1375" s="57"/>
    </row>
    <row r="1376" spans="1:203" ht="36" customHeight="1" collapsed="1" x14ac:dyDescent="0.35">
      <c r="A1376" s="24">
        <f>A1374+1</f>
        <v>585</v>
      </c>
      <c r="B1376" s="59" t="s">
        <v>316</v>
      </c>
      <c r="C1376" s="26" t="s">
        <v>132</v>
      </c>
      <c r="D1376" s="82">
        <v>15</v>
      </c>
      <c r="E1376" s="41"/>
      <c r="F1376" s="42"/>
    </row>
    <row r="1377" spans="1:28" s="58" customFormat="1" ht="30" hidden="1" customHeight="1" outlineLevel="1" x14ac:dyDescent="0.4">
      <c r="A1377" s="54"/>
      <c r="B1377" s="48" t="s">
        <v>407</v>
      </c>
      <c r="C1377" s="49" t="s">
        <v>132</v>
      </c>
      <c r="D1377" s="55">
        <v>15</v>
      </c>
      <c r="E1377" s="51"/>
      <c r="F1377" s="57"/>
    </row>
    <row r="1378" spans="1:28" s="58" customFormat="1" ht="30" hidden="1" customHeight="1" outlineLevel="1" x14ac:dyDescent="0.4">
      <c r="A1378" s="54"/>
      <c r="B1378" s="48" t="s">
        <v>408</v>
      </c>
      <c r="C1378" s="49" t="s">
        <v>58</v>
      </c>
      <c r="D1378" s="55">
        <v>30</v>
      </c>
      <c r="E1378" s="51"/>
      <c r="F1378" s="57"/>
    </row>
    <row r="1379" spans="1:28" s="58" customFormat="1" ht="30" hidden="1" customHeight="1" outlineLevel="1" x14ac:dyDescent="0.4">
      <c r="A1379" s="54"/>
      <c r="B1379" s="48" t="s">
        <v>409</v>
      </c>
      <c r="C1379" s="49" t="s">
        <v>58</v>
      </c>
      <c r="D1379" s="55">
        <v>30</v>
      </c>
      <c r="E1379" s="51"/>
      <c r="F1379" s="57"/>
    </row>
    <row r="1380" spans="1:28" s="58" customFormat="1" ht="30" hidden="1" customHeight="1" outlineLevel="1" x14ac:dyDescent="0.4">
      <c r="A1380" s="54"/>
      <c r="B1380" s="48" t="s">
        <v>410</v>
      </c>
      <c r="C1380" s="49" t="s">
        <v>58</v>
      </c>
      <c r="D1380" s="55">
        <v>30</v>
      </c>
      <c r="E1380" s="51"/>
      <c r="F1380" s="57"/>
    </row>
    <row r="1381" spans="1:28" s="58" customFormat="1" ht="30" hidden="1" customHeight="1" outlineLevel="1" x14ac:dyDescent="0.4">
      <c r="A1381" s="54"/>
      <c r="B1381" s="48" t="s">
        <v>411</v>
      </c>
      <c r="C1381" s="49" t="s">
        <v>58</v>
      </c>
      <c r="D1381" s="55">
        <v>60</v>
      </c>
      <c r="E1381" s="51"/>
      <c r="F1381" s="57"/>
    </row>
    <row r="1382" spans="1:28" s="39" customFormat="1" ht="21" customHeight="1" collapsed="1" x14ac:dyDescent="0.35">
      <c r="A1382" s="158" t="s">
        <v>684</v>
      </c>
      <c r="B1382" s="158"/>
      <c r="C1382" s="158"/>
      <c r="D1382" s="158"/>
      <c r="E1382" s="158"/>
      <c r="F1382" s="34"/>
      <c r="G1382" s="35"/>
      <c r="H1382" s="36"/>
      <c r="I1382" s="37"/>
      <c r="J1382" s="37"/>
      <c r="K1382" s="38"/>
      <c r="L1382" s="38"/>
      <c r="M1382" s="38"/>
      <c r="N1382" s="36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</row>
    <row r="1383" spans="1:28" ht="31" customHeight="1" x14ac:dyDescent="0.35">
      <c r="A1383" s="24">
        <f>A1376+1</f>
        <v>586</v>
      </c>
      <c r="B1383" s="25" t="s">
        <v>577</v>
      </c>
      <c r="C1383" s="89" t="s">
        <v>578</v>
      </c>
      <c r="D1383" s="26">
        <v>4</v>
      </c>
      <c r="E1383" s="41"/>
      <c r="F1383" s="42"/>
    </row>
    <row r="1384" spans="1:28" ht="30.9" hidden="1" outlineLevel="1" x14ac:dyDescent="0.35">
      <c r="A1384" s="47"/>
      <c r="B1384" s="48" t="s">
        <v>579</v>
      </c>
      <c r="C1384" s="49" t="s">
        <v>58</v>
      </c>
      <c r="D1384" s="49">
        <v>4</v>
      </c>
      <c r="E1384" s="78"/>
      <c r="F1384" s="42"/>
    </row>
    <row r="1385" spans="1:28" ht="31" customHeight="1" collapsed="1" x14ac:dyDescent="0.35">
      <c r="A1385" s="24">
        <f>A1383+1</f>
        <v>587</v>
      </c>
      <c r="B1385" s="25" t="s">
        <v>580</v>
      </c>
      <c r="C1385" s="89" t="s">
        <v>58</v>
      </c>
      <c r="D1385" s="26">
        <v>1</v>
      </c>
      <c r="E1385" s="41"/>
      <c r="F1385" s="42"/>
    </row>
    <row r="1386" spans="1:28" ht="123.45" hidden="1" outlineLevel="1" x14ac:dyDescent="0.35">
      <c r="A1386" s="47"/>
      <c r="B1386" s="48" t="s">
        <v>581</v>
      </c>
      <c r="C1386" s="49" t="s">
        <v>58</v>
      </c>
      <c r="D1386" s="49">
        <v>1</v>
      </c>
      <c r="E1386" s="78"/>
      <c r="F1386" s="42"/>
    </row>
    <row r="1387" spans="1:28" s="58" customFormat="1" ht="30" customHeight="1" collapsed="1" x14ac:dyDescent="0.4">
      <c r="A1387" s="24">
        <f>A1385+1</f>
        <v>588</v>
      </c>
      <c r="B1387" s="25" t="s">
        <v>582</v>
      </c>
      <c r="C1387" s="89" t="s">
        <v>132</v>
      </c>
      <c r="D1387" s="90">
        <v>672</v>
      </c>
      <c r="E1387" s="91"/>
      <c r="F1387" s="57"/>
    </row>
    <row r="1388" spans="1:28" s="58" customFormat="1" ht="30" hidden="1" customHeight="1" outlineLevel="1" x14ac:dyDescent="0.4">
      <c r="A1388" s="87"/>
      <c r="B1388" s="48" t="s">
        <v>454</v>
      </c>
      <c r="C1388" s="75" t="s">
        <v>132</v>
      </c>
      <c r="D1388" s="74">
        <v>95</v>
      </c>
      <c r="E1388" s="88">
        <v>0.03</v>
      </c>
      <c r="F1388" s="57"/>
    </row>
    <row r="1389" spans="1:28" s="58" customFormat="1" ht="30" hidden="1" customHeight="1" outlineLevel="1" x14ac:dyDescent="0.4">
      <c r="A1389" s="87"/>
      <c r="B1389" s="48" t="s">
        <v>583</v>
      </c>
      <c r="C1389" s="75" t="s">
        <v>132</v>
      </c>
      <c r="D1389" s="74">
        <v>140</v>
      </c>
      <c r="E1389" s="88">
        <v>4.3999999999999997E-2</v>
      </c>
      <c r="F1389" s="57"/>
    </row>
    <row r="1390" spans="1:28" s="58" customFormat="1" ht="30" hidden="1" customHeight="1" outlineLevel="1" x14ac:dyDescent="0.4">
      <c r="A1390" s="87"/>
      <c r="B1390" s="48" t="s">
        <v>584</v>
      </c>
      <c r="C1390" s="75" t="s">
        <v>132</v>
      </c>
      <c r="D1390" s="74">
        <v>140</v>
      </c>
      <c r="E1390" s="88">
        <v>4.3999999999999997E-2</v>
      </c>
      <c r="F1390" s="57"/>
    </row>
    <row r="1391" spans="1:28" s="58" customFormat="1" ht="30" hidden="1" customHeight="1" outlineLevel="1" x14ac:dyDescent="0.4">
      <c r="A1391" s="87"/>
      <c r="B1391" s="48" t="s">
        <v>685</v>
      </c>
      <c r="C1391" s="75" t="s">
        <v>132</v>
      </c>
      <c r="D1391" s="74">
        <v>140</v>
      </c>
      <c r="E1391" s="88">
        <v>4.3999999999999997E-2</v>
      </c>
      <c r="F1391" s="57"/>
    </row>
    <row r="1392" spans="1:28" s="58" customFormat="1" ht="30" hidden="1" customHeight="1" outlineLevel="1" x14ac:dyDescent="0.4">
      <c r="A1392" s="87"/>
      <c r="B1392" s="48" t="s">
        <v>441</v>
      </c>
      <c r="C1392" s="75" t="s">
        <v>58</v>
      </c>
      <c r="D1392" s="74">
        <v>16</v>
      </c>
      <c r="E1392" s="88"/>
      <c r="F1392" s="57"/>
    </row>
    <row r="1393" spans="1:203" s="58" customFormat="1" ht="30" customHeight="1" collapsed="1" x14ac:dyDescent="0.4">
      <c r="A1393" s="24">
        <f>A1387+1</f>
        <v>589</v>
      </c>
      <c r="B1393" s="25" t="s">
        <v>316</v>
      </c>
      <c r="C1393" s="89" t="s">
        <v>132</v>
      </c>
      <c r="D1393" s="96">
        <v>10</v>
      </c>
      <c r="E1393" s="98"/>
      <c r="F1393" s="57"/>
    </row>
    <row r="1394" spans="1:203" s="58" customFormat="1" ht="30" hidden="1" customHeight="1" outlineLevel="1" x14ac:dyDescent="0.4">
      <c r="A1394" s="87"/>
      <c r="B1394" s="48" t="s">
        <v>317</v>
      </c>
      <c r="C1394" s="75" t="s">
        <v>132</v>
      </c>
      <c r="D1394" s="74">
        <v>10</v>
      </c>
      <c r="E1394" s="93"/>
      <c r="F1394" s="57"/>
    </row>
    <row r="1395" spans="1:203" s="58" customFormat="1" ht="30" customHeight="1" collapsed="1" x14ac:dyDescent="0.4">
      <c r="A1395" s="24">
        <f>A1393+1</f>
        <v>590</v>
      </c>
      <c r="B1395" s="25" t="s">
        <v>340</v>
      </c>
      <c r="C1395" s="89" t="s">
        <v>132</v>
      </c>
      <c r="D1395" s="90">
        <v>109</v>
      </c>
      <c r="E1395" s="99"/>
      <c r="F1395" s="57"/>
    </row>
    <row r="1396" spans="1:203" s="58" customFormat="1" ht="30" hidden="1" customHeight="1" outlineLevel="1" x14ac:dyDescent="0.4">
      <c r="A1396" s="87"/>
      <c r="B1396" s="48" t="s">
        <v>341</v>
      </c>
      <c r="C1396" s="75" t="s">
        <v>14</v>
      </c>
      <c r="D1396" s="77">
        <f>101*1.66/1000*1.1</f>
        <v>0.18442600000000001</v>
      </c>
      <c r="E1396" s="94">
        <f>101*1.66/1000*1.1</f>
        <v>0.18442600000000001</v>
      </c>
      <c r="F1396" s="57"/>
    </row>
    <row r="1397" spans="1:203" s="58" customFormat="1" ht="30" hidden="1" customHeight="1" outlineLevel="1" x14ac:dyDescent="0.4">
      <c r="A1397" s="87"/>
      <c r="B1397" s="48" t="s">
        <v>686</v>
      </c>
      <c r="C1397" s="75" t="s">
        <v>14</v>
      </c>
      <c r="D1397" s="77">
        <f>8*1.66/1000*1.1</f>
        <v>1.4608000000000001E-2</v>
      </c>
      <c r="E1397" s="94">
        <f>8*1.66/1000*1.1</f>
        <v>1.4608000000000001E-2</v>
      </c>
      <c r="F1397" s="57"/>
    </row>
    <row r="1398" spans="1:203" s="58" customFormat="1" ht="30" customHeight="1" collapsed="1" x14ac:dyDescent="0.4">
      <c r="A1398" s="24">
        <f>A1395+1</f>
        <v>591</v>
      </c>
      <c r="B1398" s="25" t="s">
        <v>284</v>
      </c>
      <c r="C1398" s="89" t="s">
        <v>132</v>
      </c>
      <c r="D1398" s="90">
        <v>63</v>
      </c>
      <c r="E1398" s="91"/>
      <c r="F1398" s="57"/>
    </row>
    <row r="1399" spans="1:203" s="58" customFormat="1" ht="30" hidden="1" customHeight="1" outlineLevel="1" x14ac:dyDescent="0.4">
      <c r="A1399" s="87"/>
      <c r="B1399" s="48" t="s">
        <v>342</v>
      </c>
      <c r="C1399" s="75" t="s">
        <v>132</v>
      </c>
      <c r="D1399" s="74">
        <v>14</v>
      </c>
      <c r="E1399" s="88"/>
      <c r="F1399" s="57"/>
    </row>
    <row r="1400" spans="1:203" s="58" customFormat="1" ht="30" hidden="1" customHeight="1" outlineLevel="1" x14ac:dyDescent="0.4">
      <c r="A1400" s="87"/>
      <c r="B1400" s="48" t="s">
        <v>587</v>
      </c>
      <c r="C1400" s="75" t="s">
        <v>132</v>
      </c>
      <c r="D1400" s="74">
        <v>2</v>
      </c>
      <c r="E1400" s="88"/>
      <c r="F1400" s="57"/>
    </row>
    <row r="1401" spans="1:203" s="58" customFormat="1" ht="30" hidden="1" customHeight="1" outlineLevel="1" x14ac:dyDescent="0.4">
      <c r="A1401" s="87"/>
      <c r="B1401" s="48" t="s">
        <v>343</v>
      </c>
      <c r="C1401" s="75" t="s">
        <v>132</v>
      </c>
      <c r="D1401" s="74">
        <v>14</v>
      </c>
      <c r="E1401" s="88"/>
      <c r="F1401" s="57"/>
    </row>
    <row r="1402" spans="1:203" s="58" customFormat="1" ht="30" hidden="1" customHeight="1" outlineLevel="1" x14ac:dyDescent="0.4">
      <c r="A1402" s="87"/>
      <c r="B1402" s="48" t="s">
        <v>687</v>
      </c>
      <c r="C1402" s="75" t="s">
        <v>132</v>
      </c>
      <c r="D1402" s="74">
        <v>2</v>
      </c>
      <c r="E1402" s="88"/>
      <c r="F1402" s="57"/>
    </row>
    <row r="1403" spans="1:203" s="58" customFormat="1" ht="30" hidden="1" customHeight="1" outlineLevel="1" x14ac:dyDescent="0.4">
      <c r="A1403" s="87"/>
      <c r="B1403" s="48" t="s">
        <v>348</v>
      </c>
      <c r="C1403" s="75" t="s">
        <v>349</v>
      </c>
      <c r="D1403" s="74">
        <v>1</v>
      </c>
      <c r="E1403" s="88"/>
      <c r="F1403" s="57"/>
    </row>
    <row r="1404" spans="1:203" s="58" customFormat="1" ht="30" customHeight="1" collapsed="1" x14ac:dyDescent="0.4">
      <c r="A1404" s="24">
        <f>A1398+1</f>
        <v>592</v>
      </c>
      <c r="B1404" s="25" t="s">
        <v>588</v>
      </c>
      <c r="C1404" s="89" t="s">
        <v>58</v>
      </c>
      <c r="D1404" s="90">
        <v>1</v>
      </c>
      <c r="E1404" s="99"/>
      <c r="F1404" s="57"/>
    </row>
    <row r="1405" spans="1:203" s="58" customFormat="1" ht="30.9" hidden="1" outlineLevel="1" x14ac:dyDescent="0.4">
      <c r="A1405" s="87"/>
      <c r="B1405" s="48" t="s">
        <v>688</v>
      </c>
      <c r="C1405" s="75" t="s">
        <v>58</v>
      </c>
      <c r="D1405" s="74">
        <v>1</v>
      </c>
      <c r="E1405" s="88"/>
      <c r="F1405" s="57"/>
    </row>
    <row r="1406" spans="1:203" s="43" customFormat="1" ht="31" customHeight="1" collapsed="1" x14ac:dyDescent="0.35">
      <c r="A1406" s="24">
        <f>A1404+1</f>
        <v>593</v>
      </c>
      <c r="B1406" s="25" t="s">
        <v>592</v>
      </c>
      <c r="C1406" s="89" t="s">
        <v>58</v>
      </c>
      <c r="D1406" s="26">
        <v>4</v>
      </c>
      <c r="E1406" s="41"/>
      <c r="F1406" s="42"/>
      <c r="H1406" s="44"/>
      <c r="K1406" s="45"/>
      <c r="L1406" s="45"/>
      <c r="M1406" s="45"/>
      <c r="N1406" s="44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6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  <c r="BP1406" s="46"/>
      <c r="BQ1406" s="46"/>
      <c r="BR1406" s="46"/>
      <c r="BS1406" s="46"/>
      <c r="BT1406" s="46"/>
      <c r="BU1406" s="46"/>
      <c r="BV1406" s="46"/>
      <c r="BW1406" s="46"/>
      <c r="BX1406" s="46"/>
      <c r="BY1406" s="46"/>
      <c r="BZ1406" s="46"/>
      <c r="CA1406" s="46"/>
      <c r="CB1406" s="46"/>
      <c r="CC1406" s="46"/>
      <c r="CD1406" s="46"/>
      <c r="CE1406" s="46"/>
      <c r="CF1406" s="46"/>
      <c r="CG1406" s="46"/>
      <c r="CH1406" s="46"/>
      <c r="CI1406" s="46"/>
      <c r="CJ1406" s="46"/>
      <c r="CK1406" s="46"/>
      <c r="CL1406" s="46"/>
      <c r="CM1406" s="46"/>
      <c r="CN1406" s="46"/>
      <c r="CO1406" s="46"/>
      <c r="CP1406" s="46"/>
      <c r="CQ1406" s="46"/>
      <c r="CR1406" s="46"/>
      <c r="CS1406" s="46"/>
      <c r="CT1406" s="46"/>
      <c r="CU1406" s="46"/>
      <c r="CV1406" s="46"/>
      <c r="CW1406" s="46"/>
      <c r="CX1406" s="46"/>
      <c r="CY1406" s="46"/>
      <c r="CZ1406" s="46"/>
      <c r="DA1406" s="46"/>
      <c r="DB1406" s="46"/>
      <c r="DC1406" s="46"/>
      <c r="DD1406" s="46"/>
      <c r="DE1406" s="46"/>
      <c r="DF1406" s="46"/>
      <c r="DG1406" s="46"/>
      <c r="DH1406" s="46"/>
      <c r="DI1406" s="46"/>
      <c r="DJ1406" s="46"/>
      <c r="DK1406" s="46"/>
      <c r="DL1406" s="46"/>
      <c r="DM1406" s="46"/>
      <c r="DN1406" s="46"/>
      <c r="DO1406" s="46"/>
      <c r="DP1406" s="46"/>
      <c r="DQ1406" s="46"/>
      <c r="DR1406" s="46"/>
      <c r="DS1406" s="46"/>
      <c r="DT1406" s="46"/>
      <c r="DU1406" s="46"/>
      <c r="DV1406" s="46"/>
      <c r="DW1406" s="46"/>
      <c r="DX1406" s="46"/>
      <c r="DY1406" s="46"/>
      <c r="DZ1406" s="46"/>
      <c r="EA1406" s="46"/>
      <c r="EB1406" s="46"/>
      <c r="EC1406" s="46"/>
      <c r="ED1406" s="46"/>
      <c r="EE1406" s="46"/>
      <c r="EF1406" s="46"/>
      <c r="EG1406" s="46"/>
      <c r="EH1406" s="46"/>
      <c r="EI1406" s="46"/>
      <c r="EJ1406" s="46"/>
      <c r="EK1406" s="46"/>
      <c r="EL1406" s="46"/>
      <c r="EM1406" s="46"/>
      <c r="EN1406" s="46"/>
      <c r="EO1406" s="46"/>
      <c r="EP1406" s="46"/>
      <c r="EQ1406" s="46"/>
      <c r="ER1406" s="46"/>
      <c r="ES1406" s="46"/>
      <c r="ET1406" s="46"/>
      <c r="EU1406" s="46"/>
      <c r="EV1406" s="46"/>
      <c r="EW1406" s="46"/>
      <c r="EX1406" s="46"/>
      <c r="EY1406" s="46"/>
      <c r="EZ1406" s="46"/>
      <c r="FA1406" s="46"/>
      <c r="FB1406" s="46"/>
      <c r="FC1406" s="46"/>
      <c r="FD1406" s="46"/>
      <c r="FE1406" s="46"/>
      <c r="FF1406" s="46"/>
      <c r="FG1406" s="46"/>
      <c r="FH1406" s="46"/>
      <c r="FI1406" s="46"/>
      <c r="FJ1406" s="46"/>
      <c r="FK1406" s="46"/>
      <c r="FL1406" s="46"/>
      <c r="FM1406" s="46"/>
      <c r="FN1406" s="46"/>
      <c r="FO1406" s="46"/>
      <c r="FP1406" s="46"/>
      <c r="FQ1406" s="46"/>
      <c r="FR1406" s="46"/>
      <c r="FS1406" s="46"/>
      <c r="FT1406" s="46"/>
      <c r="FU1406" s="46"/>
      <c r="FV1406" s="46"/>
      <c r="FW1406" s="46"/>
      <c r="FX1406" s="46"/>
      <c r="FY1406" s="46"/>
      <c r="FZ1406" s="46"/>
      <c r="GA1406" s="46"/>
      <c r="GB1406" s="46"/>
      <c r="GC1406" s="46"/>
      <c r="GD1406" s="46"/>
      <c r="GE1406" s="46"/>
      <c r="GF1406" s="46"/>
      <c r="GG1406" s="46"/>
      <c r="GH1406" s="46"/>
      <c r="GI1406" s="46"/>
      <c r="GJ1406" s="46"/>
      <c r="GK1406" s="46"/>
      <c r="GL1406" s="46"/>
      <c r="GM1406" s="46"/>
      <c r="GN1406" s="46"/>
      <c r="GO1406" s="46"/>
      <c r="GP1406" s="46"/>
      <c r="GQ1406" s="46"/>
      <c r="GR1406" s="46"/>
      <c r="GS1406" s="46"/>
      <c r="GT1406" s="46"/>
      <c r="GU1406" s="46"/>
    </row>
    <row r="1407" spans="1:203" s="43" customFormat="1" ht="30" hidden="1" customHeight="1" outlineLevel="1" x14ac:dyDescent="0.35">
      <c r="A1407" s="47"/>
      <c r="B1407" s="48" t="s">
        <v>593</v>
      </c>
      <c r="C1407" s="49" t="s">
        <v>58</v>
      </c>
      <c r="D1407" s="49">
        <v>5</v>
      </c>
      <c r="E1407" s="78"/>
      <c r="F1407" s="42"/>
      <c r="H1407" s="44"/>
      <c r="K1407" s="45"/>
      <c r="L1407" s="45"/>
      <c r="M1407" s="45"/>
      <c r="N1407" s="44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  <c r="BP1407" s="46"/>
      <c r="BQ1407" s="46"/>
      <c r="BR1407" s="46"/>
      <c r="BS1407" s="46"/>
      <c r="BT1407" s="46"/>
      <c r="BU1407" s="46"/>
      <c r="BV1407" s="46"/>
      <c r="BW1407" s="46"/>
      <c r="BX1407" s="46"/>
      <c r="BY1407" s="46"/>
      <c r="BZ1407" s="46"/>
      <c r="CA1407" s="46"/>
      <c r="CB1407" s="46"/>
      <c r="CC1407" s="46"/>
      <c r="CD1407" s="46"/>
      <c r="CE1407" s="46"/>
      <c r="CF1407" s="46"/>
      <c r="CG1407" s="46"/>
      <c r="CH1407" s="46"/>
      <c r="CI1407" s="46"/>
      <c r="CJ1407" s="46"/>
      <c r="CK1407" s="46"/>
      <c r="CL1407" s="46"/>
      <c r="CM1407" s="46"/>
      <c r="CN1407" s="46"/>
      <c r="CO1407" s="46"/>
      <c r="CP1407" s="46"/>
      <c r="CQ1407" s="46"/>
      <c r="CR1407" s="46"/>
      <c r="CS1407" s="46"/>
      <c r="CT1407" s="46"/>
      <c r="CU1407" s="46"/>
      <c r="CV1407" s="46"/>
      <c r="CW1407" s="46"/>
      <c r="CX1407" s="46"/>
      <c r="CY1407" s="46"/>
      <c r="CZ1407" s="46"/>
      <c r="DA1407" s="46"/>
      <c r="DB1407" s="46"/>
      <c r="DC1407" s="46"/>
      <c r="DD1407" s="46"/>
      <c r="DE1407" s="46"/>
      <c r="DF1407" s="46"/>
      <c r="DG1407" s="46"/>
      <c r="DH1407" s="46"/>
      <c r="DI1407" s="46"/>
      <c r="DJ1407" s="46"/>
      <c r="DK1407" s="46"/>
      <c r="DL1407" s="46"/>
      <c r="DM1407" s="46"/>
      <c r="DN1407" s="46"/>
      <c r="DO1407" s="46"/>
      <c r="DP1407" s="46"/>
      <c r="DQ1407" s="46"/>
      <c r="DR1407" s="46"/>
      <c r="DS1407" s="46"/>
      <c r="DT1407" s="46"/>
      <c r="DU1407" s="46"/>
      <c r="DV1407" s="46"/>
      <c r="DW1407" s="46"/>
      <c r="DX1407" s="46"/>
      <c r="DY1407" s="46"/>
      <c r="DZ1407" s="46"/>
      <c r="EA1407" s="46"/>
      <c r="EB1407" s="46"/>
      <c r="EC1407" s="46"/>
      <c r="ED1407" s="46"/>
      <c r="EE1407" s="46"/>
      <c r="EF1407" s="46"/>
      <c r="EG1407" s="46"/>
      <c r="EH1407" s="46"/>
      <c r="EI1407" s="46"/>
      <c r="EJ1407" s="46"/>
      <c r="EK1407" s="46"/>
      <c r="EL1407" s="46"/>
      <c r="EM1407" s="46"/>
      <c r="EN1407" s="46"/>
      <c r="EO1407" s="46"/>
      <c r="EP1407" s="46"/>
      <c r="EQ1407" s="46"/>
      <c r="ER1407" s="46"/>
      <c r="ES1407" s="46"/>
      <c r="ET1407" s="46"/>
      <c r="EU1407" s="46"/>
      <c r="EV1407" s="46"/>
      <c r="EW1407" s="46"/>
      <c r="EX1407" s="46"/>
      <c r="EY1407" s="46"/>
      <c r="EZ1407" s="46"/>
      <c r="FA1407" s="46"/>
      <c r="FB1407" s="46"/>
      <c r="FC1407" s="46"/>
      <c r="FD1407" s="46"/>
      <c r="FE1407" s="46"/>
      <c r="FF1407" s="46"/>
      <c r="FG1407" s="46"/>
      <c r="FH1407" s="46"/>
      <c r="FI1407" s="46"/>
      <c r="FJ1407" s="46"/>
      <c r="FK1407" s="46"/>
      <c r="FL1407" s="46"/>
      <c r="FM1407" s="46"/>
      <c r="FN1407" s="46"/>
      <c r="FO1407" s="46"/>
      <c r="FP1407" s="46"/>
      <c r="FQ1407" s="46"/>
      <c r="FR1407" s="46"/>
      <c r="FS1407" s="46"/>
      <c r="FT1407" s="46"/>
      <c r="FU1407" s="46"/>
      <c r="FV1407" s="46"/>
      <c r="FW1407" s="46"/>
      <c r="FX1407" s="46"/>
      <c r="FY1407" s="46"/>
      <c r="FZ1407" s="46"/>
      <c r="GA1407" s="46"/>
      <c r="GB1407" s="46"/>
      <c r="GC1407" s="46"/>
      <c r="GD1407" s="46"/>
      <c r="GE1407" s="46"/>
      <c r="GF1407" s="46"/>
      <c r="GG1407" s="46"/>
      <c r="GH1407" s="46"/>
      <c r="GI1407" s="46"/>
      <c r="GJ1407" s="46"/>
      <c r="GK1407" s="46"/>
      <c r="GL1407" s="46"/>
      <c r="GM1407" s="46"/>
      <c r="GN1407" s="46"/>
      <c r="GO1407" s="46"/>
      <c r="GP1407" s="46"/>
      <c r="GQ1407" s="46"/>
      <c r="GR1407" s="46"/>
      <c r="GS1407" s="46"/>
      <c r="GT1407" s="46"/>
      <c r="GU1407" s="46"/>
    </row>
    <row r="1408" spans="1:203" s="43" customFormat="1" ht="30" hidden="1" customHeight="1" outlineLevel="1" x14ac:dyDescent="0.35">
      <c r="A1408" s="47"/>
      <c r="B1408" s="48" t="s">
        <v>594</v>
      </c>
      <c r="C1408" s="49" t="s">
        <v>58</v>
      </c>
      <c r="D1408" s="49">
        <v>4</v>
      </c>
      <c r="E1408" s="78"/>
      <c r="F1408" s="42"/>
      <c r="H1408" s="44"/>
      <c r="K1408" s="45"/>
      <c r="L1408" s="45"/>
      <c r="M1408" s="45"/>
      <c r="N1408" s="44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6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  <c r="BP1408" s="46"/>
      <c r="BQ1408" s="46"/>
      <c r="BR1408" s="46"/>
      <c r="BS1408" s="46"/>
      <c r="BT1408" s="46"/>
      <c r="BU1408" s="46"/>
      <c r="BV1408" s="46"/>
      <c r="BW1408" s="46"/>
      <c r="BX1408" s="46"/>
      <c r="BY1408" s="46"/>
      <c r="BZ1408" s="46"/>
      <c r="CA1408" s="46"/>
      <c r="CB1408" s="46"/>
      <c r="CC1408" s="46"/>
      <c r="CD1408" s="46"/>
      <c r="CE1408" s="46"/>
      <c r="CF1408" s="46"/>
      <c r="CG1408" s="46"/>
      <c r="CH1408" s="46"/>
      <c r="CI1408" s="46"/>
      <c r="CJ1408" s="46"/>
      <c r="CK1408" s="46"/>
      <c r="CL1408" s="46"/>
      <c r="CM1408" s="46"/>
      <c r="CN1408" s="46"/>
      <c r="CO1408" s="46"/>
      <c r="CP1408" s="46"/>
      <c r="CQ1408" s="46"/>
      <c r="CR1408" s="46"/>
      <c r="CS1408" s="46"/>
      <c r="CT1408" s="46"/>
      <c r="CU1408" s="46"/>
      <c r="CV1408" s="46"/>
      <c r="CW1408" s="46"/>
      <c r="CX1408" s="46"/>
      <c r="CY1408" s="46"/>
      <c r="CZ1408" s="46"/>
      <c r="DA1408" s="46"/>
      <c r="DB1408" s="46"/>
      <c r="DC1408" s="46"/>
      <c r="DD1408" s="46"/>
      <c r="DE1408" s="46"/>
      <c r="DF1408" s="46"/>
      <c r="DG1408" s="46"/>
      <c r="DH1408" s="46"/>
      <c r="DI1408" s="46"/>
      <c r="DJ1408" s="46"/>
      <c r="DK1408" s="46"/>
      <c r="DL1408" s="46"/>
      <c r="DM1408" s="46"/>
      <c r="DN1408" s="46"/>
      <c r="DO1408" s="46"/>
      <c r="DP1408" s="46"/>
      <c r="DQ1408" s="46"/>
      <c r="DR1408" s="46"/>
      <c r="DS1408" s="46"/>
      <c r="DT1408" s="46"/>
      <c r="DU1408" s="46"/>
      <c r="DV1408" s="46"/>
      <c r="DW1408" s="46"/>
      <c r="DX1408" s="46"/>
      <c r="DY1408" s="46"/>
      <c r="DZ1408" s="46"/>
      <c r="EA1408" s="46"/>
      <c r="EB1408" s="46"/>
      <c r="EC1408" s="46"/>
      <c r="ED1408" s="46"/>
      <c r="EE1408" s="46"/>
      <c r="EF1408" s="46"/>
      <c r="EG1408" s="46"/>
      <c r="EH1408" s="46"/>
      <c r="EI1408" s="46"/>
      <c r="EJ1408" s="46"/>
      <c r="EK1408" s="46"/>
      <c r="EL1408" s="46"/>
      <c r="EM1408" s="46"/>
      <c r="EN1408" s="46"/>
      <c r="EO1408" s="46"/>
      <c r="EP1408" s="46"/>
      <c r="EQ1408" s="46"/>
      <c r="ER1408" s="46"/>
      <c r="ES1408" s="46"/>
      <c r="ET1408" s="46"/>
      <c r="EU1408" s="46"/>
      <c r="EV1408" s="46"/>
      <c r="EW1408" s="46"/>
      <c r="EX1408" s="46"/>
      <c r="EY1408" s="46"/>
      <c r="EZ1408" s="46"/>
      <c r="FA1408" s="46"/>
      <c r="FB1408" s="46"/>
      <c r="FC1408" s="46"/>
      <c r="FD1408" s="46"/>
      <c r="FE1408" s="46"/>
      <c r="FF1408" s="46"/>
      <c r="FG1408" s="46"/>
      <c r="FH1408" s="46"/>
      <c r="FI1408" s="46"/>
      <c r="FJ1408" s="46"/>
      <c r="FK1408" s="46"/>
      <c r="FL1408" s="46"/>
      <c r="FM1408" s="46"/>
      <c r="FN1408" s="46"/>
      <c r="FO1408" s="46"/>
      <c r="FP1408" s="46"/>
      <c r="FQ1408" s="46"/>
      <c r="FR1408" s="46"/>
      <c r="FS1408" s="46"/>
      <c r="FT1408" s="46"/>
      <c r="FU1408" s="46"/>
      <c r="FV1408" s="46"/>
      <c r="FW1408" s="46"/>
      <c r="FX1408" s="46"/>
      <c r="FY1408" s="46"/>
      <c r="FZ1408" s="46"/>
      <c r="GA1408" s="46"/>
      <c r="GB1408" s="46"/>
      <c r="GC1408" s="46"/>
      <c r="GD1408" s="46"/>
      <c r="GE1408" s="46"/>
      <c r="GF1408" s="46"/>
      <c r="GG1408" s="46"/>
      <c r="GH1408" s="46"/>
      <c r="GI1408" s="46"/>
      <c r="GJ1408" s="46"/>
      <c r="GK1408" s="46"/>
      <c r="GL1408" s="46"/>
      <c r="GM1408" s="46"/>
      <c r="GN1408" s="46"/>
      <c r="GO1408" s="46"/>
      <c r="GP1408" s="46"/>
      <c r="GQ1408" s="46"/>
      <c r="GR1408" s="46"/>
      <c r="GS1408" s="46"/>
      <c r="GT1408" s="46"/>
      <c r="GU1408" s="46"/>
    </row>
    <row r="1409" spans="1:28" s="58" customFormat="1" ht="30" customHeight="1" collapsed="1" x14ac:dyDescent="0.4">
      <c r="A1409" s="24">
        <f>A1406+1</f>
        <v>594</v>
      </c>
      <c r="B1409" s="71" t="s">
        <v>315</v>
      </c>
      <c r="C1409" s="40" t="s">
        <v>132</v>
      </c>
      <c r="D1409" s="82">
        <v>4</v>
      </c>
      <c r="E1409" s="66"/>
      <c r="F1409" s="57"/>
    </row>
    <row r="1410" spans="1:28" s="58" customFormat="1" ht="30" hidden="1" customHeight="1" outlineLevel="1" x14ac:dyDescent="0.4">
      <c r="A1410" s="87"/>
      <c r="B1410" s="48" t="s">
        <v>314</v>
      </c>
      <c r="C1410" s="75" t="s">
        <v>14</v>
      </c>
      <c r="D1410" s="65">
        <f>4*1.26/1000</f>
        <v>5.0400000000000002E-3</v>
      </c>
      <c r="E1410" s="88">
        <v>5.0000000000000001E-3</v>
      </c>
      <c r="F1410" s="57"/>
    </row>
    <row r="1411" spans="1:28" ht="31" customHeight="1" collapsed="1" x14ac:dyDescent="0.35">
      <c r="A1411" s="24">
        <f>A1409+1</f>
        <v>595</v>
      </c>
      <c r="B1411" s="25" t="s">
        <v>595</v>
      </c>
      <c r="C1411" s="89" t="s">
        <v>58</v>
      </c>
      <c r="D1411" s="26">
        <v>5</v>
      </c>
      <c r="E1411" s="41"/>
      <c r="F1411" s="42"/>
    </row>
    <row r="1412" spans="1:28" ht="30" hidden="1" customHeight="1" outlineLevel="1" x14ac:dyDescent="0.35">
      <c r="A1412" s="47"/>
      <c r="B1412" s="48" t="s">
        <v>596</v>
      </c>
      <c r="C1412" s="49" t="s">
        <v>58</v>
      </c>
      <c r="D1412" s="49">
        <v>3</v>
      </c>
      <c r="E1412" s="78"/>
      <c r="F1412" s="42"/>
    </row>
    <row r="1413" spans="1:28" ht="30" hidden="1" customHeight="1" outlineLevel="1" x14ac:dyDescent="0.35">
      <c r="A1413" s="47"/>
      <c r="B1413" s="48" t="s">
        <v>597</v>
      </c>
      <c r="C1413" s="49" t="s">
        <v>58</v>
      </c>
      <c r="D1413" s="49">
        <v>2</v>
      </c>
      <c r="E1413" s="78"/>
      <c r="F1413" s="42"/>
    </row>
    <row r="1414" spans="1:28" s="39" customFormat="1" ht="30" customHeight="1" collapsed="1" x14ac:dyDescent="0.35">
      <c r="A1414" s="153" t="s">
        <v>689</v>
      </c>
      <c r="B1414" s="153"/>
      <c r="C1414" s="153"/>
      <c r="D1414" s="153"/>
      <c r="E1414" s="153"/>
      <c r="F1414" s="34"/>
      <c r="G1414" s="35"/>
      <c r="H1414" s="36"/>
      <c r="I1414" s="37"/>
      <c r="J1414" s="37"/>
      <c r="K1414" s="38"/>
      <c r="L1414" s="38"/>
      <c r="M1414" s="38"/>
      <c r="N1414" s="36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</row>
    <row r="1415" spans="1:28" s="39" customFormat="1" ht="21" customHeight="1" x14ac:dyDescent="0.35">
      <c r="A1415" s="158" t="s">
        <v>690</v>
      </c>
      <c r="B1415" s="158"/>
      <c r="C1415" s="158"/>
      <c r="D1415" s="158"/>
      <c r="E1415" s="158"/>
      <c r="F1415" s="34"/>
      <c r="G1415" s="35"/>
      <c r="H1415" s="36"/>
      <c r="I1415" s="37"/>
      <c r="J1415" s="37"/>
      <c r="K1415" s="38"/>
      <c r="L1415" s="38"/>
      <c r="M1415" s="38"/>
      <c r="N1415" s="36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</row>
    <row r="1416" spans="1:28" ht="30" customHeight="1" x14ac:dyDescent="0.35">
      <c r="A1416" s="24">
        <f>A1411+1</f>
        <v>596</v>
      </c>
      <c r="B1416" s="25" t="s">
        <v>131</v>
      </c>
      <c r="C1416" s="26" t="s">
        <v>132</v>
      </c>
      <c r="D1416" s="73">
        <v>20</v>
      </c>
      <c r="E1416" s="41"/>
      <c r="F1416" s="42"/>
    </row>
    <row r="1417" spans="1:28" ht="31" hidden="1" customHeight="1" outlineLevel="1" x14ac:dyDescent="0.35">
      <c r="A1417" s="47"/>
      <c r="B1417" s="48" t="s">
        <v>133</v>
      </c>
      <c r="C1417" s="49" t="s">
        <v>58</v>
      </c>
      <c r="D1417" s="55">
        <v>20</v>
      </c>
      <c r="E1417" s="109">
        <v>2</v>
      </c>
      <c r="F1417" s="42"/>
    </row>
    <row r="1418" spans="1:28" ht="31" hidden="1" customHeight="1" outlineLevel="1" x14ac:dyDescent="0.35">
      <c r="A1418" s="74"/>
      <c r="B1418" s="48" t="s">
        <v>134</v>
      </c>
      <c r="C1418" s="49" t="s">
        <v>19</v>
      </c>
      <c r="D1418" s="81">
        <v>1.26</v>
      </c>
      <c r="E1418" s="69"/>
      <c r="F1418" s="42"/>
    </row>
    <row r="1419" spans="1:28" ht="30" customHeight="1" collapsed="1" x14ac:dyDescent="0.35">
      <c r="A1419" s="24">
        <f>A1416+1</f>
        <v>597</v>
      </c>
      <c r="B1419" s="25" t="s">
        <v>135</v>
      </c>
      <c r="C1419" s="26" t="s">
        <v>19</v>
      </c>
      <c r="D1419" s="80">
        <v>9.66</v>
      </c>
      <c r="E1419" s="41"/>
      <c r="F1419" s="42"/>
    </row>
    <row r="1420" spans="1:28" ht="31" hidden="1" customHeight="1" outlineLevel="1" x14ac:dyDescent="0.35">
      <c r="A1420" s="47"/>
      <c r="B1420" s="48" t="s">
        <v>52</v>
      </c>
      <c r="C1420" s="49" t="s">
        <v>19</v>
      </c>
      <c r="D1420" s="68">
        <f>9.66</f>
        <v>9.66</v>
      </c>
      <c r="E1420" s="51"/>
      <c r="F1420" s="42"/>
    </row>
    <row r="1421" spans="1:28" s="39" customFormat="1" ht="21" customHeight="1" collapsed="1" x14ac:dyDescent="0.35">
      <c r="A1421" s="158" t="s">
        <v>691</v>
      </c>
      <c r="B1421" s="158"/>
      <c r="C1421" s="158"/>
      <c r="D1421" s="158"/>
      <c r="E1421" s="158"/>
      <c r="F1421" s="34"/>
      <c r="G1421" s="35"/>
      <c r="H1421" s="36"/>
      <c r="I1421" s="37"/>
      <c r="J1421" s="37"/>
      <c r="K1421" s="38"/>
      <c r="L1421" s="38"/>
      <c r="M1421" s="38"/>
      <c r="N1421" s="36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</row>
    <row r="1422" spans="1:28" s="39" customFormat="1" ht="21" customHeight="1" x14ac:dyDescent="0.35">
      <c r="A1422" s="154" t="s">
        <v>692</v>
      </c>
      <c r="B1422" s="154"/>
      <c r="C1422" s="154"/>
      <c r="D1422" s="154"/>
      <c r="E1422" s="154"/>
      <c r="F1422" s="34"/>
      <c r="G1422" s="35"/>
      <c r="H1422" s="36"/>
      <c r="I1422" s="37"/>
      <c r="J1422" s="37"/>
      <c r="K1422" s="38"/>
      <c r="L1422" s="38"/>
      <c r="M1422" s="38"/>
      <c r="N1422" s="36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</row>
    <row r="1423" spans="1:28" s="39" customFormat="1" ht="36" customHeight="1" x14ac:dyDescent="0.35">
      <c r="A1423" s="24">
        <f>A1419+1</f>
        <v>598</v>
      </c>
      <c r="B1423" s="25" t="s">
        <v>136</v>
      </c>
      <c r="C1423" s="26" t="s">
        <v>19</v>
      </c>
      <c r="D1423" s="40">
        <f>0.07*2</f>
        <v>0.14000000000000001</v>
      </c>
      <c r="E1423" s="64"/>
      <c r="F1423" s="34"/>
      <c r="G1423" s="35"/>
      <c r="H1423" s="36"/>
      <c r="I1423" s="37"/>
      <c r="J1423" s="37"/>
      <c r="K1423" s="38"/>
      <c r="L1423" s="38"/>
      <c r="M1423" s="38"/>
      <c r="N1423" s="36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</row>
    <row r="1424" spans="1:28" ht="34.5" hidden="1" customHeight="1" outlineLevel="1" x14ac:dyDescent="0.35">
      <c r="A1424" s="47"/>
      <c r="B1424" s="48" t="s">
        <v>134</v>
      </c>
      <c r="C1424" s="75" t="s">
        <v>19</v>
      </c>
      <c r="D1424" s="75">
        <v>0.14000000000000001</v>
      </c>
      <c r="E1424" s="76"/>
      <c r="F1424" s="42"/>
    </row>
    <row r="1425" spans="1:28" ht="33" customHeight="1" collapsed="1" x14ac:dyDescent="0.35">
      <c r="A1425" s="24">
        <f>A1423+1</f>
        <v>599</v>
      </c>
      <c r="B1425" s="25" t="s">
        <v>64</v>
      </c>
      <c r="C1425" s="26" t="s">
        <v>19</v>
      </c>
      <c r="D1425" s="40">
        <f>2*0.37</f>
        <v>0.74</v>
      </c>
      <c r="E1425" s="41"/>
      <c r="F1425" s="53"/>
    </row>
    <row r="1426" spans="1:28" ht="34.5" hidden="1" customHeight="1" outlineLevel="1" x14ac:dyDescent="0.35">
      <c r="A1426" s="47"/>
      <c r="B1426" s="48" t="s">
        <v>137</v>
      </c>
      <c r="C1426" s="75" t="s">
        <v>14</v>
      </c>
      <c r="D1426" s="77">
        <f>3.91*2/1000</f>
        <v>7.8200000000000006E-3</v>
      </c>
      <c r="E1426" s="78"/>
      <c r="F1426" s="42"/>
    </row>
    <row r="1427" spans="1:28" s="58" customFormat="1" ht="30" hidden="1" customHeight="1" outlineLevel="1" x14ac:dyDescent="0.4">
      <c r="A1427" s="54"/>
      <c r="B1427" s="48" t="s">
        <v>65</v>
      </c>
      <c r="C1427" s="49" t="s">
        <v>19</v>
      </c>
      <c r="D1427" s="75">
        <v>0.74</v>
      </c>
      <c r="E1427" s="51"/>
      <c r="F1427" s="57"/>
    </row>
    <row r="1428" spans="1:28" s="58" customFormat="1" ht="30" customHeight="1" collapsed="1" x14ac:dyDescent="0.4">
      <c r="A1428" s="24">
        <f>A1425+1</f>
        <v>600</v>
      </c>
      <c r="B1428" s="59" t="s">
        <v>138</v>
      </c>
      <c r="C1428" s="70" t="s">
        <v>67</v>
      </c>
      <c r="D1428" s="40" t="s">
        <v>177</v>
      </c>
      <c r="E1428" s="66"/>
      <c r="F1428" s="57"/>
    </row>
    <row r="1429" spans="1:28" s="58" customFormat="1" ht="30" hidden="1" customHeight="1" outlineLevel="1" x14ac:dyDescent="0.4">
      <c r="A1429" s="54"/>
      <c r="B1429" s="48" t="s">
        <v>140</v>
      </c>
      <c r="C1429" s="49" t="s">
        <v>58</v>
      </c>
      <c r="D1429" s="55">
        <v>2</v>
      </c>
      <c r="E1429" s="51"/>
      <c r="F1429" s="57"/>
    </row>
    <row r="1430" spans="1:28" s="39" customFormat="1" ht="36" customHeight="1" collapsed="1" x14ac:dyDescent="0.35">
      <c r="A1430" s="24">
        <f>A1428+1</f>
        <v>601</v>
      </c>
      <c r="B1430" s="25" t="s">
        <v>66</v>
      </c>
      <c r="C1430" s="26" t="s">
        <v>67</v>
      </c>
      <c r="D1430" s="40" t="s">
        <v>693</v>
      </c>
      <c r="E1430" s="64"/>
      <c r="F1430" s="34"/>
      <c r="G1430" s="35"/>
      <c r="H1430" s="36"/>
      <c r="I1430" s="37"/>
      <c r="J1430" s="37"/>
      <c r="K1430" s="38"/>
      <c r="L1430" s="38"/>
      <c r="M1430" s="38"/>
      <c r="N1430" s="36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</row>
    <row r="1431" spans="1:28" s="58" customFormat="1" ht="30" hidden="1" customHeight="1" outlineLevel="1" x14ac:dyDescent="0.4">
      <c r="A1431" s="54"/>
      <c r="B1431" s="48" t="s">
        <v>613</v>
      </c>
      <c r="C1431" s="49" t="s">
        <v>14</v>
      </c>
      <c r="D1431" s="65">
        <f>21.24*2/1000*1.0012</f>
        <v>4.2530975999999998E-2</v>
      </c>
      <c r="E1431" s="51"/>
      <c r="F1431" s="57"/>
    </row>
    <row r="1432" spans="1:28" s="58" customFormat="1" ht="30" hidden="1" customHeight="1" outlineLevel="1" x14ac:dyDescent="0.4">
      <c r="A1432" s="54"/>
      <c r="B1432" s="48" t="s">
        <v>185</v>
      </c>
      <c r="C1432" s="49" t="s">
        <v>14</v>
      </c>
      <c r="D1432" s="65">
        <f>(2.52+5.66)*2/1000</f>
        <v>1.636E-2</v>
      </c>
      <c r="E1432" s="51"/>
      <c r="F1432" s="57"/>
    </row>
    <row r="1433" spans="1:28" s="58" customFormat="1" ht="30" customHeight="1" collapsed="1" x14ac:dyDescent="0.4">
      <c r="A1433" s="24">
        <f>A1430+1</f>
        <v>602</v>
      </c>
      <c r="B1433" s="59" t="s">
        <v>71</v>
      </c>
      <c r="C1433" s="26" t="s">
        <v>67</v>
      </c>
      <c r="D1433" s="40" t="s">
        <v>693</v>
      </c>
      <c r="E1433" s="66"/>
      <c r="F1433" s="57"/>
    </row>
    <row r="1434" spans="1:28" ht="36" customHeight="1" x14ac:dyDescent="0.35">
      <c r="A1434" s="24">
        <f>A1433+1</f>
        <v>603</v>
      </c>
      <c r="B1434" s="59" t="s">
        <v>72</v>
      </c>
      <c r="C1434" s="26" t="s">
        <v>29</v>
      </c>
      <c r="D1434" s="67">
        <f>((0.089*0.56*3.14)+(0.3*0.3*2))*2</f>
        <v>0.67299520000000002</v>
      </c>
      <c r="E1434" s="41"/>
      <c r="F1434" s="42"/>
    </row>
    <row r="1435" spans="1:28" s="58" customFormat="1" ht="30" hidden="1" customHeight="1" outlineLevel="1" x14ac:dyDescent="0.4">
      <c r="A1435" s="54"/>
      <c r="B1435" s="48" t="s">
        <v>73</v>
      </c>
      <c r="C1435" s="49" t="s">
        <v>74</v>
      </c>
      <c r="D1435" s="68">
        <f>3.31*D1434</f>
        <v>2.2276141119999999</v>
      </c>
      <c r="E1435" s="69">
        <v>2E-3</v>
      </c>
      <c r="F1435" s="57"/>
    </row>
    <row r="1436" spans="1:28" ht="36" customHeight="1" collapsed="1" x14ac:dyDescent="0.35">
      <c r="A1436" s="24">
        <f>A1434+1</f>
        <v>604</v>
      </c>
      <c r="B1436" s="59" t="s">
        <v>75</v>
      </c>
      <c r="C1436" s="26" t="s">
        <v>29</v>
      </c>
      <c r="D1436" s="67">
        <f>((0.089*0.56*3.14)+(0.3*0.3*2))*2</f>
        <v>0.67299520000000002</v>
      </c>
      <c r="E1436" s="41"/>
      <c r="F1436" s="42"/>
    </row>
    <row r="1437" spans="1:28" ht="36" customHeight="1" x14ac:dyDescent="0.35">
      <c r="A1437" s="24">
        <f>A1436+1</f>
        <v>605</v>
      </c>
      <c r="B1437" s="59" t="s">
        <v>76</v>
      </c>
      <c r="C1437" s="26" t="s">
        <v>29</v>
      </c>
      <c r="D1437" s="67">
        <f>((0.089*0.56*3.14)+(0.3*0.3*2))*2</f>
        <v>0.67299520000000002</v>
      </c>
      <c r="E1437" s="41"/>
      <c r="F1437" s="42"/>
    </row>
    <row r="1438" spans="1:28" s="58" customFormat="1" ht="30" customHeight="1" x14ac:dyDescent="0.4">
      <c r="A1438" s="24">
        <f>A1437+1</f>
        <v>606</v>
      </c>
      <c r="B1438" s="59" t="s">
        <v>77</v>
      </c>
      <c r="C1438" s="70" t="s">
        <v>29</v>
      </c>
      <c r="D1438" s="67">
        <f>((0.089*0.56*3.14)+(0.3*0.3*2))*2</f>
        <v>0.67299520000000002</v>
      </c>
      <c r="E1438" s="66"/>
      <c r="F1438" s="57"/>
    </row>
    <row r="1439" spans="1:28" s="58" customFormat="1" ht="30" hidden="1" customHeight="1" outlineLevel="1" x14ac:dyDescent="0.4">
      <c r="A1439" s="54"/>
      <c r="B1439" s="48" t="s">
        <v>78</v>
      </c>
      <c r="C1439" s="49" t="s">
        <v>74</v>
      </c>
      <c r="D1439" s="68">
        <f>D1438*0.255</f>
        <v>0.171613776</v>
      </c>
      <c r="E1439" s="69">
        <v>1E-3</v>
      </c>
      <c r="F1439" s="57"/>
    </row>
    <row r="1440" spans="1:28" s="58" customFormat="1" ht="30" customHeight="1" collapsed="1" x14ac:dyDescent="0.4">
      <c r="A1440" s="24">
        <f>A1438+1</f>
        <v>607</v>
      </c>
      <c r="B1440" s="59" t="s">
        <v>79</v>
      </c>
      <c r="C1440" s="70" t="s">
        <v>29</v>
      </c>
      <c r="D1440" s="67">
        <f>((0.089*0.56*3.14)+(0.3*0.3*2))*2</f>
        <v>0.67299520000000002</v>
      </c>
      <c r="E1440" s="66"/>
      <c r="F1440" s="57"/>
    </row>
    <row r="1441" spans="1:28" s="58" customFormat="1" ht="30" hidden="1" customHeight="1" outlineLevel="1" x14ac:dyDescent="0.4">
      <c r="A1441" s="54"/>
      <c r="B1441" s="48" t="s">
        <v>80</v>
      </c>
      <c r="C1441" s="49" t="s">
        <v>74</v>
      </c>
      <c r="D1441" s="68">
        <f>D1440*0.36*2</f>
        <v>0.48455654399999998</v>
      </c>
      <c r="E1441" s="69"/>
      <c r="F1441" s="57"/>
    </row>
    <row r="1442" spans="1:28" s="39" customFormat="1" ht="21" customHeight="1" collapsed="1" x14ac:dyDescent="0.35">
      <c r="A1442" s="154" t="s">
        <v>60</v>
      </c>
      <c r="B1442" s="154"/>
      <c r="C1442" s="154"/>
      <c r="D1442" s="154"/>
      <c r="E1442" s="154"/>
      <c r="F1442" s="34"/>
      <c r="G1442" s="35"/>
      <c r="H1442" s="36"/>
      <c r="I1442" s="37"/>
      <c r="J1442" s="37"/>
      <c r="K1442" s="38"/>
      <c r="L1442" s="38"/>
      <c r="M1442" s="38"/>
      <c r="N1442" s="36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</row>
    <row r="1443" spans="1:28" s="39" customFormat="1" ht="36" customHeight="1" x14ac:dyDescent="0.35">
      <c r="A1443" s="24">
        <f>A1440+1</f>
        <v>608</v>
      </c>
      <c r="B1443" s="25" t="s">
        <v>136</v>
      </c>
      <c r="C1443" s="26" t="s">
        <v>19</v>
      </c>
      <c r="D1443" s="40">
        <v>7.0000000000000007E-2</v>
      </c>
      <c r="E1443" s="64"/>
      <c r="F1443" s="34"/>
      <c r="G1443" s="35"/>
      <c r="H1443" s="36"/>
      <c r="I1443" s="37"/>
      <c r="J1443" s="37"/>
      <c r="K1443" s="38"/>
      <c r="L1443" s="38"/>
      <c r="M1443" s="38"/>
      <c r="N1443" s="36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</row>
    <row r="1444" spans="1:28" ht="34.5" hidden="1" customHeight="1" outlineLevel="1" x14ac:dyDescent="0.35">
      <c r="A1444" s="47"/>
      <c r="B1444" s="48" t="s">
        <v>134</v>
      </c>
      <c r="C1444" s="75" t="s">
        <v>19</v>
      </c>
      <c r="D1444" s="75">
        <v>7.0000000000000007E-2</v>
      </c>
      <c r="E1444" s="76"/>
      <c r="F1444" s="42"/>
    </row>
    <row r="1445" spans="1:28" ht="33" customHeight="1" collapsed="1" x14ac:dyDescent="0.35">
      <c r="A1445" s="24">
        <f>A1443+1</f>
        <v>609</v>
      </c>
      <c r="B1445" s="25" t="s">
        <v>64</v>
      </c>
      <c r="C1445" s="26" t="s">
        <v>19</v>
      </c>
      <c r="D1445" s="40">
        <v>0.37</v>
      </c>
      <c r="E1445" s="41"/>
      <c r="F1445" s="53"/>
    </row>
    <row r="1446" spans="1:28" ht="34.5" hidden="1" customHeight="1" outlineLevel="1" x14ac:dyDescent="0.35">
      <c r="A1446" s="47"/>
      <c r="B1446" s="48" t="s">
        <v>137</v>
      </c>
      <c r="C1446" s="75" t="s">
        <v>14</v>
      </c>
      <c r="D1446" s="77">
        <f>3.91*1/1000*1.1</f>
        <v>4.301000000000001E-3</v>
      </c>
      <c r="E1446" s="78"/>
      <c r="F1446" s="42"/>
    </row>
    <row r="1447" spans="1:28" s="58" customFormat="1" ht="30" hidden="1" customHeight="1" outlineLevel="1" x14ac:dyDescent="0.4">
      <c r="A1447" s="54"/>
      <c r="B1447" s="48" t="s">
        <v>65</v>
      </c>
      <c r="C1447" s="49" t="s">
        <v>19</v>
      </c>
      <c r="D1447" s="75">
        <v>0.37</v>
      </c>
      <c r="E1447" s="51"/>
      <c r="F1447" s="57"/>
    </row>
    <row r="1448" spans="1:28" s="58" customFormat="1" ht="30" customHeight="1" collapsed="1" x14ac:dyDescent="0.4">
      <c r="A1448" s="24">
        <f>A1445+1</f>
        <v>610</v>
      </c>
      <c r="B1448" s="59" t="s">
        <v>138</v>
      </c>
      <c r="C1448" s="70" t="s">
        <v>67</v>
      </c>
      <c r="D1448" s="40" t="s">
        <v>139</v>
      </c>
      <c r="E1448" s="66"/>
      <c r="F1448" s="57"/>
    </row>
    <row r="1449" spans="1:28" s="58" customFormat="1" ht="30" hidden="1" customHeight="1" outlineLevel="1" x14ac:dyDescent="0.4">
      <c r="A1449" s="54"/>
      <c r="B1449" s="48" t="s">
        <v>140</v>
      </c>
      <c r="C1449" s="49" t="s">
        <v>58</v>
      </c>
      <c r="D1449" s="55">
        <v>1</v>
      </c>
      <c r="E1449" s="51"/>
      <c r="F1449" s="57"/>
    </row>
    <row r="1450" spans="1:28" s="39" customFormat="1" ht="36" customHeight="1" collapsed="1" x14ac:dyDescent="0.35">
      <c r="A1450" s="24">
        <f>A1448+1</f>
        <v>611</v>
      </c>
      <c r="B1450" s="25" t="s">
        <v>66</v>
      </c>
      <c r="C1450" s="26" t="s">
        <v>67</v>
      </c>
      <c r="D1450" s="40" t="s">
        <v>694</v>
      </c>
      <c r="E1450" s="64"/>
      <c r="F1450" s="34"/>
      <c r="G1450" s="35"/>
      <c r="H1450" s="36"/>
      <c r="I1450" s="37"/>
      <c r="J1450" s="37"/>
      <c r="K1450" s="38"/>
      <c r="L1450" s="38"/>
      <c r="M1450" s="38"/>
      <c r="N1450" s="36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</row>
    <row r="1451" spans="1:28" s="58" customFormat="1" ht="30" hidden="1" customHeight="1" outlineLevel="1" x14ac:dyDescent="0.4">
      <c r="A1451" s="54"/>
      <c r="B1451" s="48" t="s">
        <v>142</v>
      </c>
      <c r="C1451" s="49" t="s">
        <v>14</v>
      </c>
      <c r="D1451" s="65">
        <f>(3.95+3.95+26.56)/1000*1.0012</f>
        <v>3.4501351999999999E-2</v>
      </c>
      <c r="E1451" s="51"/>
      <c r="F1451" s="57"/>
    </row>
    <row r="1452" spans="1:28" s="58" customFormat="1" ht="30" customHeight="1" collapsed="1" x14ac:dyDescent="0.4">
      <c r="A1452" s="24">
        <f>A1450+1</f>
        <v>612</v>
      </c>
      <c r="B1452" s="59" t="s">
        <v>71</v>
      </c>
      <c r="C1452" s="26" t="s">
        <v>67</v>
      </c>
      <c r="D1452" s="40" t="s">
        <v>694</v>
      </c>
      <c r="E1452" s="66"/>
      <c r="F1452" s="57"/>
    </row>
    <row r="1453" spans="1:28" ht="36" customHeight="1" x14ac:dyDescent="0.35">
      <c r="A1453" s="24">
        <f>A1452+1</f>
        <v>613</v>
      </c>
      <c r="B1453" s="59" t="s">
        <v>72</v>
      </c>
      <c r="C1453" s="26" t="s">
        <v>29</v>
      </c>
      <c r="D1453" s="67">
        <f>((0.09*1.2*2)+(0.09*0.41*2))</f>
        <v>0.2898</v>
      </c>
      <c r="E1453" s="41"/>
      <c r="F1453" s="42"/>
    </row>
    <row r="1454" spans="1:28" s="58" customFormat="1" ht="30" hidden="1" customHeight="1" outlineLevel="1" x14ac:dyDescent="0.4">
      <c r="A1454" s="54"/>
      <c r="B1454" s="48" t="s">
        <v>73</v>
      </c>
      <c r="C1454" s="49" t="s">
        <v>74</v>
      </c>
      <c r="D1454" s="68">
        <f>3.31*D1453</f>
        <v>0.95923800000000004</v>
      </c>
      <c r="E1454" s="69">
        <v>1E-3</v>
      </c>
      <c r="F1454" s="57"/>
    </row>
    <row r="1455" spans="1:28" ht="36" customHeight="1" collapsed="1" x14ac:dyDescent="0.35">
      <c r="A1455" s="24">
        <f>A1453+1</f>
        <v>614</v>
      </c>
      <c r="B1455" s="59" t="s">
        <v>75</v>
      </c>
      <c r="C1455" s="26" t="s">
        <v>29</v>
      </c>
      <c r="D1455" s="67">
        <f>((0.09*1.2*2)+(0.09*0.41*2))</f>
        <v>0.2898</v>
      </c>
      <c r="E1455" s="41"/>
      <c r="F1455" s="42"/>
    </row>
    <row r="1456" spans="1:28" ht="36" customHeight="1" x14ac:dyDescent="0.35">
      <c r="A1456" s="24">
        <f>A1455+1</f>
        <v>615</v>
      </c>
      <c r="B1456" s="59" t="s">
        <v>76</v>
      </c>
      <c r="C1456" s="26" t="s">
        <v>29</v>
      </c>
      <c r="D1456" s="67">
        <f>((0.09*1.2*2)+(0.09*0.41*2))</f>
        <v>0.2898</v>
      </c>
      <c r="E1456" s="41"/>
      <c r="F1456" s="42"/>
    </row>
    <row r="1457" spans="1:28" s="58" customFormat="1" ht="30" customHeight="1" x14ac:dyDescent="0.4">
      <c r="A1457" s="24">
        <f>A1456+1</f>
        <v>616</v>
      </c>
      <c r="B1457" s="59" t="s">
        <v>77</v>
      </c>
      <c r="C1457" s="70" t="s">
        <v>29</v>
      </c>
      <c r="D1457" s="67">
        <f>((0.09*1.2*2)+(0.09*0.41*2))</f>
        <v>0.2898</v>
      </c>
      <c r="E1457" s="66"/>
      <c r="F1457" s="57"/>
    </row>
    <row r="1458" spans="1:28" s="58" customFormat="1" ht="30" hidden="1" customHeight="1" outlineLevel="1" x14ac:dyDescent="0.4">
      <c r="A1458" s="54"/>
      <c r="B1458" s="48" t="s">
        <v>78</v>
      </c>
      <c r="C1458" s="49" t="s">
        <v>74</v>
      </c>
      <c r="D1458" s="68">
        <f>D1457*0.255</f>
        <v>7.3899000000000006E-2</v>
      </c>
      <c r="E1458" s="69">
        <v>1E-3</v>
      </c>
      <c r="F1458" s="57"/>
    </row>
    <row r="1459" spans="1:28" s="58" customFormat="1" ht="30" customHeight="1" collapsed="1" x14ac:dyDescent="0.4">
      <c r="A1459" s="24">
        <f>A1457+1</f>
        <v>617</v>
      </c>
      <c r="B1459" s="59" t="s">
        <v>79</v>
      </c>
      <c r="C1459" s="70" t="s">
        <v>29</v>
      </c>
      <c r="D1459" s="67">
        <f>((0.09*1.2*2)+(0.09*0.41*2))</f>
        <v>0.2898</v>
      </c>
      <c r="E1459" s="66"/>
      <c r="F1459" s="57"/>
    </row>
    <row r="1460" spans="1:28" s="58" customFormat="1" ht="30" hidden="1" customHeight="1" outlineLevel="1" x14ac:dyDescent="0.4">
      <c r="A1460" s="54"/>
      <c r="B1460" s="48" t="s">
        <v>80</v>
      </c>
      <c r="C1460" s="49" t="s">
        <v>74</v>
      </c>
      <c r="D1460" s="68">
        <f>D1459*0.36*2</f>
        <v>0.20865599999999998</v>
      </c>
      <c r="E1460" s="69"/>
      <c r="F1460" s="57"/>
    </row>
    <row r="1461" spans="1:28" s="39" customFormat="1" ht="30" customHeight="1" collapsed="1" x14ac:dyDescent="0.35">
      <c r="A1461" s="153" t="s">
        <v>695</v>
      </c>
      <c r="B1461" s="153"/>
      <c r="C1461" s="153"/>
      <c r="D1461" s="153"/>
      <c r="E1461" s="153"/>
      <c r="F1461" s="34"/>
      <c r="G1461" s="35"/>
      <c r="H1461" s="36"/>
      <c r="I1461" s="37"/>
      <c r="J1461" s="37"/>
      <c r="K1461" s="38"/>
      <c r="L1461" s="38"/>
      <c r="M1461" s="38"/>
      <c r="N1461" s="36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</row>
    <row r="1462" spans="1:28" s="39" customFormat="1" ht="21" customHeight="1" x14ac:dyDescent="0.35">
      <c r="A1462" s="158" t="s">
        <v>696</v>
      </c>
      <c r="B1462" s="158"/>
      <c r="C1462" s="158"/>
      <c r="D1462" s="158"/>
      <c r="E1462" s="158"/>
      <c r="F1462" s="34"/>
      <c r="G1462" s="35"/>
      <c r="H1462" s="36"/>
      <c r="I1462" s="37"/>
      <c r="J1462" s="37"/>
      <c r="K1462" s="38"/>
      <c r="L1462" s="38"/>
      <c r="M1462" s="38"/>
      <c r="N1462" s="36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</row>
    <row r="1463" spans="1:28" ht="30" customHeight="1" x14ac:dyDescent="0.35">
      <c r="A1463" s="24">
        <f>A1459+1</f>
        <v>618</v>
      </c>
      <c r="B1463" s="25" t="s">
        <v>131</v>
      </c>
      <c r="C1463" s="26" t="s">
        <v>132</v>
      </c>
      <c r="D1463" s="73">
        <v>22</v>
      </c>
      <c r="E1463" s="41"/>
      <c r="F1463" s="42"/>
    </row>
    <row r="1464" spans="1:28" ht="31" hidden="1" customHeight="1" outlineLevel="1" x14ac:dyDescent="0.35">
      <c r="A1464" s="47"/>
      <c r="B1464" s="48" t="s">
        <v>133</v>
      </c>
      <c r="C1464" s="49" t="s">
        <v>58</v>
      </c>
      <c r="D1464" s="55">
        <v>22</v>
      </c>
      <c r="E1464" s="56">
        <v>2.2000000000000002</v>
      </c>
      <c r="F1464" s="42"/>
    </row>
    <row r="1465" spans="1:28" ht="31" hidden="1" customHeight="1" outlineLevel="1" x14ac:dyDescent="0.35">
      <c r="A1465" s="74"/>
      <c r="B1465" s="48" t="s">
        <v>134</v>
      </c>
      <c r="C1465" s="49" t="s">
        <v>19</v>
      </c>
      <c r="D1465" s="81">
        <v>1.43</v>
      </c>
      <c r="E1465" s="69"/>
      <c r="F1465" s="42"/>
    </row>
    <row r="1466" spans="1:28" ht="30" customHeight="1" collapsed="1" x14ac:dyDescent="0.35">
      <c r="A1466" s="24">
        <f>A1463+1</f>
        <v>619</v>
      </c>
      <c r="B1466" s="25" t="s">
        <v>135</v>
      </c>
      <c r="C1466" s="26" t="s">
        <v>19</v>
      </c>
      <c r="D1466" s="40">
        <v>5.44</v>
      </c>
      <c r="E1466" s="41"/>
      <c r="F1466" s="42"/>
    </row>
    <row r="1467" spans="1:28" ht="31" hidden="1" customHeight="1" outlineLevel="1" x14ac:dyDescent="0.35">
      <c r="A1467" s="47"/>
      <c r="B1467" s="48" t="s">
        <v>52</v>
      </c>
      <c r="C1467" s="49" t="s">
        <v>19</v>
      </c>
      <c r="D1467" s="50">
        <f>5.44</f>
        <v>5.44</v>
      </c>
      <c r="E1467" s="51"/>
      <c r="F1467" s="42"/>
    </row>
    <row r="1468" spans="1:28" s="39" customFormat="1" ht="21" customHeight="1" collapsed="1" x14ac:dyDescent="0.35">
      <c r="A1468" s="154" t="s">
        <v>697</v>
      </c>
      <c r="B1468" s="154"/>
      <c r="C1468" s="154"/>
      <c r="D1468" s="154"/>
      <c r="E1468" s="154"/>
      <c r="F1468" s="34"/>
      <c r="G1468" s="35"/>
      <c r="H1468" s="36"/>
      <c r="I1468" s="37"/>
      <c r="J1468" s="37"/>
      <c r="K1468" s="38"/>
      <c r="L1468" s="38"/>
      <c r="M1468" s="38"/>
      <c r="N1468" s="36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</row>
    <row r="1469" spans="1:28" s="39" customFormat="1" ht="36" customHeight="1" x14ac:dyDescent="0.35">
      <c r="A1469" s="24">
        <f>A1466+1</f>
        <v>620</v>
      </c>
      <c r="B1469" s="25" t="s">
        <v>136</v>
      </c>
      <c r="C1469" s="26" t="s">
        <v>19</v>
      </c>
      <c r="D1469" s="40">
        <f>0.07*2</f>
        <v>0.14000000000000001</v>
      </c>
      <c r="E1469" s="64"/>
      <c r="F1469" s="34"/>
      <c r="G1469" s="35"/>
      <c r="H1469" s="36"/>
      <c r="I1469" s="37"/>
      <c r="J1469" s="37"/>
      <c r="K1469" s="38"/>
      <c r="L1469" s="38"/>
      <c r="M1469" s="38"/>
      <c r="N1469" s="36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</row>
    <row r="1470" spans="1:28" ht="34.5" hidden="1" customHeight="1" outlineLevel="1" x14ac:dyDescent="0.35">
      <c r="A1470" s="47"/>
      <c r="B1470" s="48" t="s">
        <v>134</v>
      </c>
      <c r="C1470" s="75" t="s">
        <v>19</v>
      </c>
      <c r="D1470" s="75">
        <v>0.14000000000000001</v>
      </c>
      <c r="E1470" s="76"/>
      <c r="F1470" s="42"/>
    </row>
    <row r="1471" spans="1:28" ht="33" customHeight="1" collapsed="1" x14ac:dyDescent="0.35">
      <c r="A1471" s="24">
        <f>A1469+1</f>
        <v>621</v>
      </c>
      <c r="B1471" s="25" t="s">
        <v>64</v>
      </c>
      <c r="C1471" s="26" t="s">
        <v>19</v>
      </c>
      <c r="D1471" s="40">
        <f>2*0.37</f>
        <v>0.74</v>
      </c>
      <c r="E1471" s="41"/>
      <c r="F1471" s="53"/>
    </row>
    <row r="1472" spans="1:28" ht="34.5" hidden="1" customHeight="1" outlineLevel="1" x14ac:dyDescent="0.35">
      <c r="A1472" s="47"/>
      <c r="B1472" s="48" t="s">
        <v>137</v>
      </c>
      <c r="C1472" s="75" t="s">
        <v>14</v>
      </c>
      <c r="D1472" s="77">
        <f>3.91*2/1000*1.0012</f>
        <v>7.8293840000000017E-3</v>
      </c>
      <c r="E1472" s="78"/>
      <c r="F1472" s="42"/>
    </row>
    <row r="1473" spans="1:28" s="58" customFormat="1" ht="30" hidden="1" customHeight="1" outlineLevel="1" x14ac:dyDescent="0.4">
      <c r="A1473" s="54"/>
      <c r="B1473" s="48" t="s">
        <v>65</v>
      </c>
      <c r="C1473" s="49" t="s">
        <v>19</v>
      </c>
      <c r="D1473" s="75">
        <v>0.74</v>
      </c>
      <c r="E1473" s="51"/>
      <c r="F1473" s="57"/>
    </row>
    <row r="1474" spans="1:28" s="58" customFormat="1" ht="30" customHeight="1" collapsed="1" x14ac:dyDescent="0.4">
      <c r="A1474" s="24">
        <f>A1471+1</f>
        <v>622</v>
      </c>
      <c r="B1474" s="59" t="s">
        <v>138</v>
      </c>
      <c r="C1474" s="70" t="s">
        <v>67</v>
      </c>
      <c r="D1474" s="40" t="s">
        <v>698</v>
      </c>
      <c r="E1474" s="66"/>
      <c r="F1474" s="57"/>
    </row>
    <row r="1475" spans="1:28" s="58" customFormat="1" ht="30" hidden="1" customHeight="1" outlineLevel="1" x14ac:dyDescent="0.4">
      <c r="A1475" s="54"/>
      <c r="B1475" s="48" t="s">
        <v>140</v>
      </c>
      <c r="C1475" s="49" t="s">
        <v>58</v>
      </c>
      <c r="D1475" s="55">
        <v>2</v>
      </c>
      <c r="E1475" s="51"/>
      <c r="F1475" s="57"/>
    </row>
    <row r="1476" spans="1:28" s="39" customFormat="1" ht="36" customHeight="1" collapsed="1" x14ac:dyDescent="0.35">
      <c r="A1476" s="24">
        <f>A1474+1</f>
        <v>623</v>
      </c>
      <c r="B1476" s="25" t="s">
        <v>66</v>
      </c>
      <c r="C1476" s="26" t="s">
        <v>67</v>
      </c>
      <c r="D1476" s="40" t="s">
        <v>699</v>
      </c>
      <c r="E1476" s="64"/>
      <c r="F1476" s="34"/>
      <c r="G1476" s="35"/>
      <c r="H1476" s="36"/>
      <c r="I1476" s="37"/>
      <c r="J1476" s="37"/>
      <c r="K1476" s="38"/>
      <c r="L1476" s="38"/>
      <c r="M1476" s="38"/>
      <c r="N1476" s="36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</row>
    <row r="1477" spans="1:28" s="58" customFormat="1" ht="30" hidden="1" customHeight="1" outlineLevel="1" x14ac:dyDescent="0.4">
      <c r="A1477" s="54"/>
      <c r="B1477" s="48" t="s">
        <v>700</v>
      </c>
      <c r="C1477" s="49" t="s">
        <v>14</v>
      </c>
      <c r="D1477" s="65">
        <f>14.58*2/1000*1.0012</f>
        <v>2.9194991999999999E-2</v>
      </c>
      <c r="E1477" s="51"/>
      <c r="F1477" s="57"/>
    </row>
    <row r="1478" spans="1:28" s="58" customFormat="1" ht="30" hidden="1" customHeight="1" outlineLevel="1" x14ac:dyDescent="0.4">
      <c r="A1478" s="54"/>
      <c r="B1478" s="48" t="s">
        <v>185</v>
      </c>
      <c r="C1478" s="49" t="s">
        <v>14</v>
      </c>
      <c r="D1478" s="65">
        <f>5.66*2/1000*1.0012</f>
        <v>1.1333584000000001E-2</v>
      </c>
      <c r="E1478" s="51"/>
      <c r="F1478" s="57"/>
    </row>
    <row r="1479" spans="1:28" s="58" customFormat="1" ht="30" hidden="1" customHeight="1" outlineLevel="1" x14ac:dyDescent="0.4">
      <c r="A1479" s="54"/>
      <c r="B1479" s="48" t="s">
        <v>701</v>
      </c>
      <c r="C1479" s="49" t="s">
        <v>14</v>
      </c>
      <c r="D1479" s="65">
        <f>1.88*2/1000*1.0012</f>
        <v>3.7645120000000002E-3</v>
      </c>
      <c r="E1479" s="51"/>
      <c r="F1479" s="57"/>
    </row>
    <row r="1480" spans="1:28" s="58" customFormat="1" ht="30" customHeight="1" collapsed="1" x14ac:dyDescent="0.4">
      <c r="A1480" s="24">
        <f>A1476+1</f>
        <v>624</v>
      </c>
      <c r="B1480" s="59" t="s">
        <v>71</v>
      </c>
      <c r="C1480" s="26" t="s">
        <v>67</v>
      </c>
      <c r="D1480" s="40" t="s">
        <v>699</v>
      </c>
      <c r="E1480" s="66"/>
      <c r="F1480" s="57"/>
    </row>
    <row r="1481" spans="1:28" ht="36" customHeight="1" x14ac:dyDescent="0.35">
      <c r="A1481" s="24">
        <f>A1480+1</f>
        <v>625</v>
      </c>
      <c r="B1481" s="59" t="s">
        <v>72</v>
      </c>
      <c r="C1481" s="26" t="s">
        <v>29</v>
      </c>
      <c r="D1481" s="67">
        <f>((0.089*0.56*3.14)+(0.3*0.3*2))*2</f>
        <v>0.67299520000000002</v>
      </c>
      <c r="E1481" s="41"/>
      <c r="F1481" s="42"/>
    </row>
    <row r="1482" spans="1:28" s="58" customFormat="1" ht="30" hidden="1" customHeight="1" outlineLevel="1" x14ac:dyDescent="0.4">
      <c r="A1482" s="54"/>
      <c r="B1482" s="48" t="s">
        <v>73</v>
      </c>
      <c r="C1482" s="49" t="s">
        <v>74</v>
      </c>
      <c r="D1482" s="68">
        <f>3.31*D1481</f>
        <v>2.2276141119999999</v>
      </c>
      <c r="E1482" s="69">
        <v>2E-3</v>
      </c>
      <c r="F1482" s="57"/>
    </row>
    <row r="1483" spans="1:28" ht="36" customHeight="1" collapsed="1" x14ac:dyDescent="0.35">
      <c r="A1483" s="24">
        <f>A1481+1</f>
        <v>626</v>
      </c>
      <c r="B1483" s="59" t="s">
        <v>75</v>
      </c>
      <c r="C1483" s="26" t="s">
        <v>29</v>
      </c>
      <c r="D1483" s="67">
        <f>((0.089*0.56*3.14)+(0.3*0.3*2))*2</f>
        <v>0.67299520000000002</v>
      </c>
      <c r="E1483" s="41"/>
      <c r="F1483" s="42"/>
    </row>
    <row r="1484" spans="1:28" ht="36" customHeight="1" x14ac:dyDescent="0.35">
      <c r="A1484" s="24">
        <f>A1483+1</f>
        <v>627</v>
      </c>
      <c r="B1484" s="59" t="s">
        <v>76</v>
      </c>
      <c r="C1484" s="26" t="s">
        <v>29</v>
      </c>
      <c r="D1484" s="67">
        <f>((0.089*0.56*3.14)+(0.3*0.3*2))*2</f>
        <v>0.67299520000000002</v>
      </c>
      <c r="E1484" s="41"/>
      <c r="F1484" s="42"/>
    </row>
    <row r="1485" spans="1:28" s="58" customFormat="1" ht="30" customHeight="1" x14ac:dyDescent="0.4">
      <c r="A1485" s="24">
        <f>A1484+1</f>
        <v>628</v>
      </c>
      <c r="B1485" s="59" t="s">
        <v>77</v>
      </c>
      <c r="C1485" s="70" t="s">
        <v>29</v>
      </c>
      <c r="D1485" s="67">
        <f>((0.089*0.56*3.14)+(0.3*0.3*2))*2</f>
        <v>0.67299520000000002</v>
      </c>
      <c r="E1485" s="66"/>
      <c r="F1485" s="57"/>
    </row>
    <row r="1486" spans="1:28" s="58" customFormat="1" ht="30" hidden="1" customHeight="1" outlineLevel="1" x14ac:dyDescent="0.4">
      <c r="A1486" s="54"/>
      <c r="B1486" s="48" t="s">
        <v>78</v>
      </c>
      <c r="C1486" s="49" t="s">
        <v>74</v>
      </c>
      <c r="D1486" s="68">
        <f>D1485*0.255</f>
        <v>0.171613776</v>
      </c>
      <c r="E1486" s="69">
        <v>1E-3</v>
      </c>
      <c r="F1486" s="57"/>
    </row>
    <row r="1487" spans="1:28" s="58" customFormat="1" ht="30" customHeight="1" collapsed="1" x14ac:dyDescent="0.4">
      <c r="A1487" s="24">
        <f>A1485+1</f>
        <v>629</v>
      </c>
      <c r="B1487" s="59" t="s">
        <v>79</v>
      </c>
      <c r="C1487" s="70" t="s">
        <v>29</v>
      </c>
      <c r="D1487" s="67">
        <f>((0.089*0.56*3.14)+(0.3*0.3*2))*2</f>
        <v>0.67299520000000002</v>
      </c>
      <c r="E1487" s="66"/>
      <c r="F1487" s="57"/>
    </row>
    <row r="1488" spans="1:28" s="58" customFormat="1" ht="30" hidden="1" customHeight="1" outlineLevel="1" x14ac:dyDescent="0.4">
      <c r="A1488" s="54"/>
      <c r="B1488" s="48" t="s">
        <v>80</v>
      </c>
      <c r="C1488" s="49" t="s">
        <v>74</v>
      </c>
      <c r="D1488" s="68">
        <f>D1487*0.36*2</f>
        <v>0.48455654399999998</v>
      </c>
      <c r="E1488" s="69"/>
      <c r="F1488" s="57"/>
    </row>
    <row r="1489" spans="1:28" s="39" customFormat="1" ht="21" customHeight="1" collapsed="1" x14ac:dyDescent="0.35">
      <c r="A1489" s="158" t="s">
        <v>702</v>
      </c>
      <c r="B1489" s="158"/>
      <c r="C1489" s="158"/>
      <c r="D1489" s="158"/>
      <c r="E1489" s="158"/>
      <c r="F1489" s="34"/>
      <c r="G1489" s="35"/>
      <c r="H1489" s="36"/>
      <c r="I1489" s="37"/>
      <c r="J1489" s="37"/>
      <c r="K1489" s="38"/>
      <c r="L1489" s="38"/>
      <c r="M1489" s="38"/>
      <c r="N1489" s="36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</row>
    <row r="1490" spans="1:28" s="58" customFormat="1" ht="30" customHeight="1" x14ac:dyDescent="0.4">
      <c r="A1490" s="72">
        <f>A1487+1</f>
        <v>630</v>
      </c>
      <c r="B1490" s="25" t="s">
        <v>308</v>
      </c>
      <c r="C1490" s="89" t="s">
        <v>19</v>
      </c>
      <c r="D1490" s="105">
        <f>0.7*0.5*24.8</f>
        <v>8.68</v>
      </c>
      <c r="E1490" s="91"/>
      <c r="F1490" s="57"/>
    </row>
    <row r="1491" spans="1:28" s="58" customFormat="1" ht="30" customHeight="1" x14ac:dyDescent="0.4">
      <c r="A1491" s="72">
        <f>A1490+1</f>
        <v>631</v>
      </c>
      <c r="B1491" s="25" t="s">
        <v>309</v>
      </c>
      <c r="C1491" s="89" t="s">
        <v>19</v>
      </c>
      <c r="D1491" s="105">
        <f>0.7*0.5*24.8</f>
        <v>8.68</v>
      </c>
      <c r="E1491" s="91"/>
      <c r="F1491" s="57"/>
    </row>
    <row r="1492" spans="1:28" s="58" customFormat="1" ht="30" customHeight="1" x14ac:dyDescent="0.4">
      <c r="A1492" s="24">
        <f>A1491+1</f>
        <v>632</v>
      </c>
      <c r="B1492" s="25" t="s">
        <v>310</v>
      </c>
      <c r="C1492" s="89" t="s">
        <v>19</v>
      </c>
      <c r="D1492" s="105">
        <f>0.7*0.5*24.8</f>
        <v>8.68</v>
      </c>
      <c r="E1492" s="91"/>
      <c r="F1492" s="57"/>
    </row>
    <row r="1493" spans="1:28" s="58" customFormat="1" ht="30" customHeight="1" x14ac:dyDescent="0.4">
      <c r="A1493" s="24">
        <f>A1492+1</f>
        <v>633</v>
      </c>
      <c r="B1493" s="59" t="s">
        <v>403</v>
      </c>
      <c r="C1493" s="70" t="s">
        <v>132</v>
      </c>
      <c r="D1493" s="40">
        <v>24.8</v>
      </c>
      <c r="E1493" s="66"/>
      <c r="F1493" s="57"/>
    </row>
    <row r="1494" spans="1:28" s="58" customFormat="1" ht="30" hidden="1" customHeight="1" outlineLevel="1" x14ac:dyDescent="0.4">
      <c r="A1494" s="54"/>
      <c r="B1494" s="48" t="s">
        <v>404</v>
      </c>
      <c r="C1494" s="49" t="s">
        <v>14</v>
      </c>
      <c r="D1494" s="65">
        <f>24.8*1.26/1000</f>
        <v>3.1248000000000001E-2</v>
      </c>
      <c r="E1494" s="51">
        <v>3.1E-2</v>
      </c>
      <c r="F1494" s="57"/>
    </row>
    <row r="1495" spans="1:28" ht="36" customHeight="1" collapsed="1" x14ac:dyDescent="0.35">
      <c r="A1495" s="24">
        <f>A1493+1</f>
        <v>634</v>
      </c>
      <c r="B1495" s="59" t="s">
        <v>405</v>
      </c>
      <c r="C1495" s="26" t="s">
        <v>58</v>
      </c>
      <c r="D1495" s="82">
        <v>4</v>
      </c>
      <c r="E1495" s="41"/>
      <c r="F1495" s="42"/>
    </row>
    <row r="1496" spans="1:28" s="58" customFormat="1" ht="30" hidden="1" customHeight="1" outlineLevel="1" x14ac:dyDescent="0.4">
      <c r="A1496" s="54"/>
      <c r="B1496" s="48" t="s">
        <v>406</v>
      </c>
      <c r="C1496" s="49" t="s">
        <v>14</v>
      </c>
      <c r="D1496" s="65">
        <f>20*1.58/1000</f>
        <v>3.1600000000000003E-2</v>
      </c>
      <c r="E1496" s="51">
        <v>3.2000000000000001E-2</v>
      </c>
      <c r="F1496" s="57"/>
    </row>
    <row r="1497" spans="1:28" s="58" customFormat="1" ht="30" customHeight="1" collapsed="1" x14ac:dyDescent="0.4">
      <c r="A1497" s="24">
        <f>A1495+1</f>
        <v>635</v>
      </c>
      <c r="B1497" s="71" t="s">
        <v>315</v>
      </c>
      <c r="C1497" s="40" t="s">
        <v>132</v>
      </c>
      <c r="D1497" s="67">
        <v>30.2</v>
      </c>
      <c r="E1497" s="66"/>
      <c r="F1497" s="57"/>
    </row>
    <row r="1498" spans="1:28" s="58" customFormat="1" ht="30" hidden="1" customHeight="1" outlineLevel="1" x14ac:dyDescent="0.4">
      <c r="A1498" s="87"/>
      <c r="B1498" s="48" t="s">
        <v>314</v>
      </c>
      <c r="C1498" s="75" t="s">
        <v>14</v>
      </c>
      <c r="D1498" s="65">
        <f>30.2*1.26/1000</f>
        <v>3.8052000000000002E-2</v>
      </c>
      <c r="E1498" s="88">
        <v>3.7999999999999999E-2</v>
      </c>
      <c r="F1498" s="57"/>
    </row>
    <row r="1499" spans="1:28" ht="36" customHeight="1" collapsed="1" x14ac:dyDescent="0.35">
      <c r="A1499" s="24">
        <f>A1497+1</f>
        <v>636</v>
      </c>
      <c r="B1499" s="59" t="s">
        <v>316</v>
      </c>
      <c r="C1499" s="26" t="s">
        <v>132</v>
      </c>
      <c r="D1499" s="82">
        <v>10</v>
      </c>
      <c r="E1499" s="41"/>
      <c r="F1499" s="42"/>
    </row>
    <row r="1500" spans="1:28" s="58" customFormat="1" ht="30" hidden="1" customHeight="1" outlineLevel="1" x14ac:dyDescent="0.4">
      <c r="A1500" s="54"/>
      <c r="B1500" s="48" t="s">
        <v>407</v>
      </c>
      <c r="C1500" s="49" t="s">
        <v>132</v>
      </c>
      <c r="D1500" s="55">
        <v>10</v>
      </c>
      <c r="E1500" s="51"/>
      <c r="F1500" s="57"/>
    </row>
    <row r="1501" spans="1:28" s="58" customFormat="1" ht="30" hidden="1" customHeight="1" outlineLevel="1" x14ac:dyDescent="0.4">
      <c r="A1501" s="54"/>
      <c r="B1501" s="48" t="s">
        <v>408</v>
      </c>
      <c r="C1501" s="49" t="s">
        <v>58</v>
      </c>
      <c r="D1501" s="55">
        <v>20</v>
      </c>
      <c r="E1501" s="51"/>
      <c r="F1501" s="57"/>
    </row>
    <row r="1502" spans="1:28" s="58" customFormat="1" ht="30" hidden="1" customHeight="1" outlineLevel="1" x14ac:dyDescent="0.4">
      <c r="A1502" s="54"/>
      <c r="B1502" s="48" t="s">
        <v>409</v>
      </c>
      <c r="C1502" s="49" t="s">
        <v>58</v>
      </c>
      <c r="D1502" s="55">
        <v>20</v>
      </c>
      <c r="E1502" s="51"/>
      <c r="F1502" s="57"/>
    </row>
    <row r="1503" spans="1:28" s="58" customFormat="1" ht="30" hidden="1" customHeight="1" outlineLevel="1" x14ac:dyDescent="0.4">
      <c r="A1503" s="54"/>
      <c r="B1503" s="48" t="s">
        <v>410</v>
      </c>
      <c r="C1503" s="49" t="s">
        <v>58</v>
      </c>
      <c r="D1503" s="55">
        <v>20</v>
      </c>
      <c r="E1503" s="51"/>
      <c r="F1503" s="57"/>
    </row>
    <row r="1504" spans="1:28" s="58" customFormat="1" ht="30" hidden="1" customHeight="1" outlineLevel="1" x14ac:dyDescent="0.4">
      <c r="A1504" s="54"/>
      <c r="B1504" s="48" t="s">
        <v>411</v>
      </c>
      <c r="C1504" s="49" t="s">
        <v>58</v>
      </c>
      <c r="D1504" s="55">
        <v>40</v>
      </c>
      <c r="E1504" s="51"/>
      <c r="F1504" s="57"/>
    </row>
    <row r="1505" spans="1:28" s="39" customFormat="1" ht="21" customHeight="1" collapsed="1" x14ac:dyDescent="0.35">
      <c r="A1505" s="158" t="s">
        <v>703</v>
      </c>
      <c r="B1505" s="158"/>
      <c r="C1505" s="158"/>
      <c r="D1505" s="158"/>
      <c r="E1505" s="158"/>
      <c r="F1505" s="34"/>
      <c r="G1505" s="35"/>
      <c r="H1505" s="36"/>
      <c r="I1505" s="37"/>
      <c r="J1505" s="37"/>
      <c r="K1505" s="38"/>
      <c r="L1505" s="38"/>
      <c r="M1505" s="38"/>
      <c r="N1505" s="36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</row>
    <row r="1506" spans="1:28" s="39" customFormat="1" ht="21" customHeight="1" x14ac:dyDescent="0.35">
      <c r="A1506" s="160" t="s">
        <v>704</v>
      </c>
      <c r="B1506" s="161"/>
      <c r="C1506" s="161"/>
      <c r="D1506" s="161"/>
      <c r="E1506" s="162"/>
      <c r="F1506" s="34"/>
      <c r="G1506" s="35"/>
      <c r="H1506" s="36"/>
      <c r="I1506" s="37"/>
      <c r="J1506" s="37"/>
      <c r="K1506" s="38"/>
      <c r="L1506" s="38"/>
      <c r="M1506" s="38"/>
      <c r="N1506" s="36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</row>
    <row r="1507" spans="1:28" ht="31" customHeight="1" x14ac:dyDescent="0.35">
      <c r="A1507" s="24">
        <f>A1499+1</f>
        <v>637</v>
      </c>
      <c r="B1507" s="25" t="s">
        <v>652</v>
      </c>
      <c r="C1507" s="89" t="s">
        <v>58</v>
      </c>
      <c r="D1507" s="26">
        <v>2</v>
      </c>
      <c r="E1507" s="41"/>
      <c r="F1507" s="42"/>
    </row>
    <row r="1508" spans="1:28" ht="92.6" hidden="1" outlineLevel="1" x14ac:dyDescent="0.35">
      <c r="A1508" s="47"/>
      <c r="B1508" s="48" t="s">
        <v>653</v>
      </c>
      <c r="C1508" s="49" t="s">
        <v>58</v>
      </c>
      <c r="D1508" s="49">
        <v>1</v>
      </c>
      <c r="E1508" s="78"/>
      <c r="F1508" s="42"/>
    </row>
    <row r="1509" spans="1:28" ht="92.6" hidden="1" outlineLevel="1" x14ac:dyDescent="0.35">
      <c r="A1509" s="47"/>
      <c r="B1509" s="48" t="s">
        <v>654</v>
      </c>
      <c r="C1509" s="49" t="s">
        <v>58</v>
      </c>
      <c r="D1509" s="49">
        <v>1</v>
      </c>
      <c r="E1509" s="78"/>
      <c r="F1509" s="42"/>
    </row>
    <row r="1510" spans="1:28" ht="31" customHeight="1" collapsed="1" x14ac:dyDescent="0.35">
      <c r="A1510" s="24">
        <f>A1507+1</f>
        <v>638</v>
      </c>
      <c r="B1510" s="25" t="s">
        <v>655</v>
      </c>
      <c r="C1510" s="89" t="s">
        <v>58</v>
      </c>
      <c r="D1510" s="26">
        <v>2</v>
      </c>
      <c r="E1510" s="41"/>
      <c r="F1510" s="42"/>
    </row>
    <row r="1511" spans="1:28" ht="30" hidden="1" customHeight="1" outlineLevel="1" x14ac:dyDescent="0.35">
      <c r="A1511" s="47"/>
      <c r="B1511" s="48" t="s">
        <v>656</v>
      </c>
      <c r="C1511" s="49" t="s">
        <v>251</v>
      </c>
      <c r="D1511" s="49">
        <v>2</v>
      </c>
      <c r="E1511" s="78"/>
      <c r="F1511" s="42"/>
    </row>
    <row r="1512" spans="1:28" ht="31" customHeight="1" collapsed="1" x14ac:dyDescent="0.35">
      <c r="A1512" s="24">
        <f>A1510+1</f>
        <v>639</v>
      </c>
      <c r="B1512" s="25" t="s">
        <v>657</v>
      </c>
      <c r="C1512" s="89" t="s">
        <v>58</v>
      </c>
      <c r="D1512" s="26">
        <v>2</v>
      </c>
      <c r="E1512" s="41"/>
      <c r="F1512" s="42"/>
    </row>
    <row r="1513" spans="1:28" ht="61.75" hidden="1" outlineLevel="1" x14ac:dyDescent="0.35">
      <c r="A1513" s="47"/>
      <c r="B1513" s="48" t="s">
        <v>705</v>
      </c>
      <c r="C1513" s="49" t="s">
        <v>58</v>
      </c>
      <c r="D1513" s="49">
        <v>1</v>
      </c>
      <c r="E1513" s="78"/>
      <c r="F1513" s="42"/>
    </row>
    <row r="1514" spans="1:28" ht="61.75" hidden="1" outlineLevel="1" x14ac:dyDescent="0.35">
      <c r="A1514" s="47"/>
      <c r="B1514" s="48" t="s">
        <v>706</v>
      </c>
      <c r="C1514" s="49" t="s">
        <v>58</v>
      </c>
      <c r="D1514" s="49">
        <v>1</v>
      </c>
      <c r="E1514" s="78"/>
      <c r="F1514" s="42"/>
    </row>
    <row r="1515" spans="1:28" ht="31" customHeight="1" collapsed="1" x14ac:dyDescent="0.35">
      <c r="A1515" s="24">
        <f>A1512+1</f>
        <v>640</v>
      </c>
      <c r="B1515" s="25" t="s">
        <v>577</v>
      </c>
      <c r="C1515" s="89" t="s">
        <v>578</v>
      </c>
      <c r="D1515" s="26">
        <v>1</v>
      </c>
      <c r="E1515" s="41"/>
      <c r="F1515" s="42"/>
    </row>
    <row r="1516" spans="1:28" ht="30.9" hidden="1" outlineLevel="1" x14ac:dyDescent="0.35">
      <c r="A1516" s="47"/>
      <c r="B1516" s="48" t="s">
        <v>579</v>
      </c>
      <c r="C1516" s="49" t="s">
        <v>58</v>
      </c>
      <c r="D1516" s="49">
        <v>1</v>
      </c>
      <c r="E1516" s="78"/>
      <c r="F1516" s="42"/>
    </row>
    <row r="1517" spans="1:28" s="58" customFormat="1" ht="30" customHeight="1" collapsed="1" x14ac:dyDescent="0.4">
      <c r="A1517" s="24">
        <f>A1515+1</f>
        <v>641</v>
      </c>
      <c r="B1517" s="25" t="s">
        <v>582</v>
      </c>
      <c r="C1517" s="89" t="s">
        <v>132</v>
      </c>
      <c r="D1517" s="90">
        <v>254</v>
      </c>
      <c r="E1517" s="91"/>
      <c r="F1517" s="57"/>
    </row>
    <row r="1518" spans="1:28" s="58" customFormat="1" ht="30" hidden="1" customHeight="1" outlineLevel="1" x14ac:dyDescent="0.4">
      <c r="A1518" s="87"/>
      <c r="B1518" s="48" t="s">
        <v>454</v>
      </c>
      <c r="C1518" s="75" t="s">
        <v>132</v>
      </c>
      <c r="D1518" s="74">
        <v>64</v>
      </c>
      <c r="E1518" s="88">
        <v>0.02</v>
      </c>
      <c r="F1518" s="57"/>
    </row>
    <row r="1519" spans="1:28" s="58" customFormat="1" ht="30" hidden="1" customHeight="1" outlineLevel="1" x14ac:dyDescent="0.4">
      <c r="A1519" s="87"/>
      <c r="B1519" s="48" t="s">
        <v>584</v>
      </c>
      <c r="C1519" s="75" t="s">
        <v>132</v>
      </c>
      <c r="D1519" s="74">
        <v>190</v>
      </c>
      <c r="E1519" s="88">
        <v>5.8999999999999997E-2</v>
      </c>
      <c r="F1519" s="57"/>
    </row>
    <row r="1520" spans="1:28" s="58" customFormat="1" ht="30" hidden="1" customHeight="1" outlineLevel="1" x14ac:dyDescent="0.4">
      <c r="A1520" s="87"/>
      <c r="B1520" s="48" t="s">
        <v>441</v>
      </c>
      <c r="C1520" s="75" t="s">
        <v>58</v>
      </c>
      <c r="D1520" s="74">
        <v>12</v>
      </c>
      <c r="E1520" s="88"/>
      <c r="F1520" s="57"/>
    </row>
    <row r="1521" spans="1:28" s="58" customFormat="1" ht="30" customHeight="1" collapsed="1" x14ac:dyDescent="0.4">
      <c r="A1521" s="24">
        <f>A1517+1</f>
        <v>642</v>
      </c>
      <c r="B1521" s="25" t="s">
        <v>316</v>
      </c>
      <c r="C1521" s="89" t="s">
        <v>132</v>
      </c>
      <c r="D1521" s="96">
        <v>10</v>
      </c>
      <c r="E1521" s="98"/>
      <c r="F1521" s="57"/>
      <c r="O1521" s="58" t="s">
        <v>442</v>
      </c>
    </row>
    <row r="1522" spans="1:28" s="58" customFormat="1" ht="30" hidden="1" customHeight="1" outlineLevel="1" x14ac:dyDescent="0.4">
      <c r="A1522" s="87"/>
      <c r="B1522" s="48" t="s">
        <v>317</v>
      </c>
      <c r="C1522" s="75" t="s">
        <v>132</v>
      </c>
      <c r="D1522" s="74">
        <v>10</v>
      </c>
      <c r="E1522" s="93"/>
      <c r="F1522" s="57"/>
    </row>
    <row r="1523" spans="1:28" s="58" customFormat="1" ht="30" customHeight="1" collapsed="1" x14ac:dyDescent="0.4">
      <c r="A1523" s="24">
        <f>A1521+1</f>
        <v>643</v>
      </c>
      <c r="B1523" s="25" t="s">
        <v>340</v>
      </c>
      <c r="C1523" s="89" t="s">
        <v>132</v>
      </c>
      <c r="D1523" s="90">
        <v>48</v>
      </c>
      <c r="E1523" s="99"/>
      <c r="F1523" s="57"/>
    </row>
    <row r="1524" spans="1:28" s="58" customFormat="1" ht="30" hidden="1" customHeight="1" outlineLevel="1" x14ac:dyDescent="0.4">
      <c r="A1524" s="87"/>
      <c r="B1524" s="48" t="s">
        <v>341</v>
      </c>
      <c r="C1524" s="75" t="s">
        <v>14</v>
      </c>
      <c r="D1524" s="77">
        <f>48*1.66/1000*1.1</f>
        <v>8.764799999999999E-2</v>
      </c>
      <c r="E1524" s="88">
        <v>8.7999999999999995E-2</v>
      </c>
      <c r="F1524" s="57"/>
    </row>
    <row r="1525" spans="1:28" s="58" customFormat="1" ht="30" customHeight="1" collapsed="1" x14ac:dyDescent="0.4">
      <c r="A1525" s="24">
        <f>A1523+1</f>
        <v>644</v>
      </c>
      <c r="B1525" s="25" t="s">
        <v>284</v>
      </c>
      <c r="C1525" s="89" t="s">
        <v>132</v>
      </c>
      <c r="D1525" s="90">
        <v>19</v>
      </c>
      <c r="E1525" s="91"/>
      <c r="F1525" s="57"/>
    </row>
    <row r="1526" spans="1:28" s="58" customFormat="1" ht="30" hidden="1" customHeight="1" outlineLevel="1" x14ac:dyDescent="0.4">
      <c r="A1526" s="87"/>
      <c r="B1526" s="48" t="s">
        <v>342</v>
      </c>
      <c r="C1526" s="75" t="s">
        <v>132</v>
      </c>
      <c r="D1526" s="74">
        <v>16</v>
      </c>
      <c r="E1526" s="88"/>
      <c r="F1526" s="57"/>
    </row>
    <row r="1527" spans="1:28" s="58" customFormat="1" ht="30" hidden="1" customHeight="1" outlineLevel="1" x14ac:dyDescent="0.4">
      <c r="A1527" s="87"/>
      <c r="B1527" s="48" t="s">
        <v>587</v>
      </c>
      <c r="C1527" s="75" t="s">
        <v>132</v>
      </c>
      <c r="D1527" s="74">
        <v>3</v>
      </c>
      <c r="E1527" s="88"/>
      <c r="F1527" s="57"/>
    </row>
    <row r="1528" spans="1:28" s="58" customFormat="1" ht="30" hidden="1" customHeight="1" outlineLevel="1" x14ac:dyDescent="0.4">
      <c r="A1528" s="87"/>
      <c r="B1528" s="48" t="s">
        <v>343</v>
      </c>
      <c r="C1528" s="75" t="s">
        <v>132</v>
      </c>
      <c r="D1528" s="74">
        <v>12</v>
      </c>
      <c r="E1528" s="88"/>
      <c r="F1528" s="57"/>
    </row>
    <row r="1529" spans="1:28" s="58" customFormat="1" ht="30" hidden="1" customHeight="1" outlineLevel="1" x14ac:dyDescent="0.4">
      <c r="A1529" s="87"/>
      <c r="B1529" s="48" t="s">
        <v>348</v>
      </c>
      <c r="C1529" s="75" t="s">
        <v>349</v>
      </c>
      <c r="D1529" s="74">
        <v>1</v>
      </c>
      <c r="E1529" s="88"/>
      <c r="F1529" s="57"/>
    </row>
    <row r="1530" spans="1:28" s="58" customFormat="1" ht="30" customHeight="1" collapsed="1" x14ac:dyDescent="0.4">
      <c r="A1530" s="24">
        <f>A1525+1</f>
        <v>645</v>
      </c>
      <c r="B1530" s="25" t="s">
        <v>588</v>
      </c>
      <c r="C1530" s="89" t="s">
        <v>58</v>
      </c>
      <c r="D1530" s="90">
        <v>1</v>
      </c>
      <c r="E1530" s="99"/>
      <c r="F1530" s="57"/>
    </row>
    <row r="1531" spans="1:28" s="58" customFormat="1" ht="30.9" hidden="1" outlineLevel="1" x14ac:dyDescent="0.4">
      <c r="A1531" s="87"/>
      <c r="B1531" s="48" t="s">
        <v>707</v>
      </c>
      <c r="C1531" s="75" t="s">
        <v>58</v>
      </c>
      <c r="D1531" s="74">
        <v>1</v>
      </c>
      <c r="E1531" s="88"/>
      <c r="F1531" s="57"/>
    </row>
    <row r="1532" spans="1:28" ht="31" customHeight="1" collapsed="1" x14ac:dyDescent="0.35">
      <c r="A1532" s="24">
        <f>A1530+1</f>
        <v>646</v>
      </c>
      <c r="B1532" s="25" t="s">
        <v>592</v>
      </c>
      <c r="C1532" s="89" t="s">
        <v>58</v>
      </c>
      <c r="D1532" s="26">
        <v>1</v>
      </c>
      <c r="E1532" s="41"/>
      <c r="F1532" s="42"/>
    </row>
    <row r="1533" spans="1:28" ht="30" hidden="1" customHeight="1" outlineLevel="1" x14ac:dyDescent="0.35">
      <c r="A1533" s="47"/>
      <c r="B1533" s="48" t="s">
        <v>593</v>
      </c>
      <c r="C1533" s="49" t="s">
        <v>58</v>
      </c>
      <c r="D1533" s="49">
        <v>5</v>
      </c>
      <c r="E1533" s="78"/>
      <c r="F1533" s="42"/>
    </row>
    <row r="1534" spans="1:28" s="58" customFormat="1" ht="30" customHeight="1" collapsed="1" x14ac:dyDescent="0.4">
      <c r="A1534" s="24">
        <f>A1532+1</f>
        <v>647</v>
      </c>
      <c r="B1534" s="71" t="s">
        <v>315</v>
      </c>
      <c r="C1534" s="40" t="s">
        <v>132</v>
      </c>
      <c r="D1534" s="82">
        <v>4</v>
      </c>
      <c r="E1534" s="66"/>
      <c r="F1534" s="57"/>
    </row>
    <row r="1535" spans="1:28" s="58" customFormat="1" ht="30" hidden="1" customHeight="1" outlineLevel="1" x14ac:dyDescent="0.4">
      <c r="A1535" s="87"/>
      <c r="B1535" s="48" t="s">
        <v>314</v>
      </c>
      <c r="C1535" s="75" t="s">
        <v>14</v>
      </c>
      <c r="D1535" s="65">
        <f>4*1.26/1000</f>
        <v>5.0400000000000002E-3</v>
      </c>
      <c r="E1535" s="88">
        <v>5.0000000000000001E-3</v>
      </c>
      <c r="F1535" s="57"/>
    </row>
    <row r="1536" spans="1:28" s="39" customFormat="1" ht="21" customHeight="1" collapsed="1" x14ac:dyDescent="0.35">
      <c r="A1536" s="160" t="s">
        <v>708</v>
      </c>
      <c r="B1536" s="161"/>
      <c r="C1536" s="161"/>
      <c r="D1536" s="161"/>
      <c r="E1536" s="162"/>
      <c r="F1536" s="34"/>
      <c r="G1536" s="35"/>
      <c r="H1536" s="36"/>
      <c r="I1536" s="37"/>
      <c r="J1536" s="37"/>
      <c r="K1536" s="38"/>
      <c r="L1536" s="38"/>
      <c r="M1536" s="38"/>
      <c r="N1536" s="36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</row>
    <row r="1537" spans="1:203" ht="31" customHeight="1" x14ac:dyDescent="0.35">
      <c r="A1537" s="24">
        <f>A1534+1</f>
        <v>648</v>
      </c>
      <c r="B1537" s="25" t="s">
        <v>652</v>
      </c>
      <c r="C1537" s="89" t="s">
        <v>58</v>
      </c>
      <c r="D1537" s="26">
        <v>2</v>
      </c>
      <c r="E1537" s="41"/>
      <c r="F1537" s="42"/>
    </row>
    <row r="1538" spans="1:203" s="45" customFormat="1" ht="92.6" hidden="1" outlineLevel="1" x14ac:dyDescent="0.35">
      <c r="A1538" s="47"/>
      <c r="B1538" s="48" t="s">
        <v>654</v>
      </c>
      <c r="C1538" s="49" t="s">
        <v>58</v>
      </c>
      <c r="D1538" s="49">
        <v>2</v>
      </c>
      <c r="E1538" s="78"/>
      <c r="F1538" s="42"/>
      <c r="G1538" s="43"/>
      <c r="H1538" s="44"/>
      <c r="I1538" s="43"/>
      <c r="J1538" s="43"/>
      <c r="N1538" s="44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  <c r="BP1538" s="46"/>
      <c r="BQ1538" s="46"/>
      <c r="BR1538" s="46"/>
      <c r="BS1538" s="46"/>
      <c r="BT1538" s="46"/>
      <c r="BU1538" s="46"/>
      <c r="BV1538" s="46"/>
      <c r="BW1538" s="46"/>
      <c r="BX1538" s="46"/>
      <c r="BY1538" s="46"/>
      <c r="BZ1538" s="46"/>
      <c r="CA1538" s="46"/>
      <c r="CB1538" s="46"/>
      <c r="CC1538" s="46"/>
      <c r="CD1538" s="46"/>
      <c r="CE1538" s="46"/>
      <c r="CF1538" s="46"/>
      <c r="CG1538" s="46"/>
      <c r="CH1538" s="46"/>
      <c r="CI1538" s="46"/>
      <c r="CJ1538" s="46"/>
      <c r="CK1538" s="46"/>
      <c r="CL1538" s="46"/>
      <c r="CM1538" s="46"/>
      <c r="CN1538" s="46"/>
      <c r="CO1538" s="46"/>
      <c r="CP1538" s="46"/>
      <c r="CQ1538" s="46"/>
      <c r="CR1538" s="46"/>
      <c r="CS1538" s="46"/>
      <c r="CT1538" s="46"/>
      <c r="CU1538" s="46"/>
      <c r="CV1538" s="46"/>
      <c r="CW1538" s="46"/>
      <c r="CX1538" s="46"/>
      <c r="CY1538" s="46"/>
      <c r="CZ1538" s="46"/>
      <c r="DA1538" s="46"/>
      <c r="DB1538" s="46"/>
      <c r="DC1538" s="46"/>
      <c r="DD1538" s="46"/>
      <c r="DE1538" s="46"/>
      <c r="DF1538" s="46"/>
      <c r="DG1538" s="46"/>
      <c r="DH1538" s="46"/>
      <c r="DI1538" s="46"/>
      <c r="DJ1538" s="46"/>
      <c r="DK1538" s="46"/>
      <c r="DL1538" s="46"/>
      <c r="DM1538" s="46"/>
      <c r="DN1538" s="46"/>
      <c r="DO1538" s="46"/>
      <c r="DP1538" s="46"/>
      <c r="DQ1538" s="46"/>
      <c r="DR1538" s="46"/>
      <c r="DS1538" s="46"/>
      <c r="DT1538" s="46"/>
      <c r="DU1538" s="46"/>
      <c r="DV1538" s="46"/>
      <c r="DW1538" s="46"/>
      <c r="DX1538" s="46"/>
      <c r="DY1538" s="46"/>
      <c r="DZ1538" s="46"/>
      <c r="EA1538" s="46"/>
      <c r="EB1538" s="46"/>
      <c r="EC1538" s="46"/>
      <c r="ED1538" s="46"/>
      <c r="EE1538" s="46"/>
      <c r="EF1538" s="46"/>
      <c r="EG1538" s="46"/>
      <c r="EH1538" s="46"/>
      <c r="EI1538" s="46"/>
      <c r="EJ1538" s="46"/>
      <c r="EK1538" s="46"/>
      <c r="EL1538" s="46"/>
      <c r="EM1538" s="46"/>
      <c r="EN1538" s="46"/>
      <c r="EO1538" s="46"/>
      <c r="EP1538" s="46"/>
      <c r="EQ1538" s="46"/>
      <c r="ER1538" s="46"/>
      <c r="ES1538" s="46"/>
      <c r="ET1538" s="46"/>
      <c r="EU1538" s="46"/>
      <c r="EV1538" s="46"/>
      <c r="EW1538" s="46"/>
      <c r="EX1538" s="46"/>
      <c r="EY1538" s="46"/>
      <c r="EZ1538" s="46"/>
      <c r="FA1538" s="46"/>
      <c r="FB1538" s="46"/>
      <c r="FC1538" s="46"/>
      <c r="FD1538" s="46"/>
      <c r="FE1538" s="46"/>
      <c r="FF1538" s="46"/>
      <c r="FG1538" s="46"/>
      <c r="FH1538" s="46"/>
      <c r="FI1538" s="46"/>
      <c r="FJ1538" s="46"/>
      <c r="FK1538" s="46"/>
      <c r="FL1538" s="46"/>
      <c r="FM1538" s="46"/>
      <c r="FN1538" s="46"/>
      <c r="FO1538" s="46"/>
      <c r="FP1538" s="46"/>
      <c r="FQ1538" s="46"/>
      <c r="FR1538" s="46"/>
      <c r="FS1538" s="46"/>
      <c r="FT1538" s="46"/>
      <c r="FU1538" s="46"/>
      <c r="FV1538" s="46"/>
      <c r="FW1538" s="46"/>
      <c r="FX1538" s="46"/>
      <c r="FY1538" s="46"/>
      <c r="FZ1538" s="46"/>
      <c r="GA1538" s="46"/>
      <c r="GB1538" s="46"/>
      <c r="GC1538" s="46"/>
      <c r="GD1538" s="46"/>
      <c r="GE1538" s="46"/>
      <c r="GF1538" s="46"/>
      <c r="GG1538" s="46"/>
      <c r="GH1538" s="46"/>
      <c r="GI1538" s="46"/>
      <c r="GJ1538" s="46"/>
      <c r="GK1538" s="46"/>
      <c r="GL1538" s="46"/>
      <c r="GM1538" s="46"/>
      <c r="GN1538" s="46"/>
      <c r="GO1538" s="46"/>
      <c r="GP1538" s="46"/>
      <c r="GQ1538" s="46"/>
      <c r="GR1538" s="46"/>
      <c r="GS1538" s="46"/>
      <c r="GT1538" s="46"/>
      <c r="GU1538" s="46"/>
    </row>
    <row r="1539" spans="1:203" s="45" customFormat="1" ht="31" customHeight="1" collapsed="1" x14ac:dyDescent="0.35">
      <c r="A1539" s="24">
        <f>A1537+1</f>
        <v>649</v>
      </c>
      <c r="B1539" s="25" t="s">
        <v>655</v>
      </c>
      <c r="C1539" s="89" t="s">
        <v>58</v>
      </c>
      <c r="D1539" s="26">
        <v>2</v>
      </c>
      <c r="E1539" s="41"/>
      <c r="F1539" s="42"/>
      <c r="G1539" s="43"/>
      <c r="H1539" s="44"/>
      <c r="I1539" s="43"/>
      <c r="J1539" s="43"/>
      <c r="N1539" s="44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  <c r="BP1539" s="46"/>
      <c r="BQ1539" s="46"/>
      <c r="BR1539" s="46"/>
      <c r="BS1539" s="46"/>
      <c r="BT1539" s="46"/>
      <c r="BU1539" s="46"/>
      <c r="BV1539" s="46"/>
      <c r="BW1539" s="46"/>
      <c r="BX1539" s="46"/>
      <c r="BY1539" s="46"/>
      <c r="BZ1539" s="46"/>
      <c r="CA1539" s="46"/>
      <c r="CB1539" s="46"/>
      <c r="CC1539" s="46"/>
      <c r="CD1539" s="46"/>
      <c r="CE1539" s="46"/>
      <c r="CF1539" s="46"/>
      <c r="CG1539" s="46"/>
      <c r="CH1539" s="46"/>
      <c r="CI1539" s="46"/>
      <c r="CJ1539" s="46"/>
      <c r="CK1539" s="46"/>
      <c r="CL1539" s="46"/>
      <c r="CM1539" s="46"/>
      <c r="CN1539" s="46"/>
      <c r="CO1539" s="46"/>
      <c r="CP1539" s="46"/>
      <c r="CQ1539" s="46"/>
      <c r="CR1539" s="46"/>
      <c r="CS1539" s="46"/>
      <c r="CT1539" s="46"/>
      <c r="CU1539" s="46"/>
      <c r="CV1539" s="46"/>
      <c r="CW1539" s="46"/>
      <c r="CX1539" s="46"/>
      <c r="CY1539" s="46"/>
      <c r="CZ1539" s="46"/>
      <c r="DA1539" s="46"/>
      <c r="DB1539" s="46"/>
      <c r="DC1539" s="46"/>
      <c r="DD1539" s="46"/>
      <c r="DE1539" s="46"/>
      <c r="DF1539" s="46"/>
      <c r="DG1539" s="46"/>
      <c r="DH1539" s="46"/>
      <c r="DI1539" s="46"/>
      <c r="DJ1539" s="46"/>
      <c r="DK1539" s="46"/>
      <c r="DL1539" s="46"/>
      <c r="DM1539" s="46"/>
      <c r="DN1539" s="46"/>
      <c r="DO1539" s="46"/>
      <c r="DP1539" s="46"/>
      <c r="DQ1539" s="46"/>
      <c r="DR1539" s="46"/>
      <c r="DS1539" s="46"/>
      <c r="DT1539" s="46"/>
      <c r="DU1539" s="46"/>
      <c r="DV1539" s="46"/>
      <c r="DW1539" s="46"/>
      <c r="DX1539" s="46"/>
      <c r="DY1539" s="46"/>
      <c r="DZ1539" s="46"/>
      <c r="EA1539" s="46"/>
      <c r="EB1539" s="46"/>
      <c r="EC1539" s="46"/>
      <c r="ED1539" s="46"/>
      <c r="EE1539" s="46"/>
      <c r="EF1539" s="46"/>
      <c r="EG1539" s="46"/>
      <c r="EH1539" s="46"/>
      <c r="EI1539" s="46"/>
      <c r="EJ1539" s="46"/>
      <c r="EK1539" s="46"/>
      <c r="EL1539" s="46"/>
      <c r="EM1539" s="46"/>
      <c r="EN1539" s="46"/>
      <c r="EO1539" s="46"/>
      <c r="EP1539" s="46"/>
      <c r="EQ1539" s="46"/>
      <c r="ER1539" s="46"/>
      <c r="ES1539" s="46"/>
      <c r="ET1539" s="46"/>
      <c r="EU1539" s="46"/>
      <c r="EV1539" s="46"/>
      <c r="EW1539" s="46"/>
      <c r="EX1539" s="46"/>
      <c r="EY1539" s="46"/>
      <c r="EZ1539" s="46"/>
      <c r="FA1539" s="46"/>
      <c r="FB1539" s="46"/>
      <c r="FC1539" s="46"/>
      <c r="FD1539" s="46"/>
      <c r="FE1539" s="46"/>
      <c r="FF1539" s="46"/>
      <c r="FG1539" s="46"/>
      <c r="FH1539" s="46"/>
      <c r="FI1539" s="46"/>
      <c r="FJ1539" s="46"/>
      <c r="FK1539" s="46"/>
      <c r="FL1539" s="46"/>
      <c r="FM1539" s="46"/>
      <c r="FN1539" s="46"/>
      <c r="FO1539" s="46"/>
      <c r="FP1539" s="46"/>
      <c r="FQ1539" s="46"/>
      <c r="FR1539" s="46"/>
      <c r="FS1539" s="46"/>
      <c r="FT1539" s="46"/>
      <c r="FU1539" s="46"/>
      <c r="FV1539" s="46"/>
      <c r="FW1539" s="46"/>
      <c r="FX1539" s="46"/>
      <c r="FY1539" s="46"/>
      <c r="FZ1539" s="46"/>
      <c r="GA1539" s="46"/>
      <c r="GB1539" s="46"/>
      <c r="GC1539" s="46"/>
      <c r="GD1539" s="46"/>
      <c r="GE1539" s="46"/>
      <c r="GF1539" s="46"/>
      <c r="GG1539" s="46"/>
      <c r="GH1539" s="46"/>
      <c r="GI1539" s="46"/>
      <c r="GJ1539" s="46"/>
      <c r="GK1539" s="46"/>
      <c r="GL1539" s="46"/>
      <c r="GM1539" s="46"/>
      <c r="GN1539" s="46"/>
      <c r="GO1539" s="46"/>
      <c r="GP1539" s="46"/>
      <c r="GQ1539" s="46"/>
      <c r="GR1539" s="46"/>
      <c r="GS1539" s="46"/>
      <c r="GT1539" s="46"/>
      <c r="GU1539" s="46"/>
    </row>
    <row r="1540" spans="1:203" s="45" customFormat="1" ht="30" hidden="1" customHeight="1" outlineLevel="1" x14ac:dyDescent="0.35">
      <c r="A1540" s="47"/>
      <c r="B1540" s="48" t="s">
        <v>656</v>
      </c>
      <c r="C1540" s="49" t="s">
        <v>251</v>
      </c>
      <c r="D1540" s="49">
        <v>2</v>
      </c>
      <c r="E1540" s="78"/>
      <c r="F1540" s="42"/>
      <c r="G1540" s="43"/>
      <c r="H1540" s="44"/>
      <c r="I1540" s="43"/>
      <c r="J1540" s="43"/>
      <c r="N1540" s="44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  <c r="BP1540" s="46"/>
      <c r="BQ1540" s="46"/>
      <c r="BR1540" s="46"/>
      <c r="BS1540" s="46"/>
      <c r="BT1540" s="46"/>
      <c r="BU1540" s="46"/>
      <c r="BV1540" s="46"/>
      <c r="BW1540" s="46"/>
      <c r="BX1540" s="46"/>
      <c r="BY1540" s="46"/>
      <c r="BZ1540" s="46"/>
      <c r="CA1540" s="46"/>
      <c r="CB1540" s="46"/>
      <c r="CC1540" s="46"/>
      <c r="CD1540" s="46"/>
      <c r="CE1540" s="46"/>
      <c r="CF1540" s="46"/>
      <c r="CG1540" s="46"/>
      <c r="CH1540" s="46"/>
      <c r="CI1540" s="46"/>
      <c r="CJ1540" s="46"/>
      <c r="CK1540" s="46"/>
      <c r="CL1540" s="46"/>
      <c r="CM1540" s="46"/>
      <c r="CN1540" s="46"/>
      <c r="CO1540" s="46"/>
      <c r="CP1540" s="46"/>
      <c r="CQ1540" s="46"/>
      <c r="CR1540" s="46"/>
      <c r="CS1540" s="46"/>
      <c r="CT1540" s="46"/>
      <c r="CU1540" s="46"/>
      <c r="CV1540" s="46"/>
      <c r="CW1540" s="46"/>
      <c r="CX1540" s="46"/>
      <c r="CY1540" s="46"/>
      <c r="CZ1540" s="46"/>
      <c r="DA1540" s="46"/>
      <c r="DB1540" s="46"/>
      <c r="DC1540" s="46"/>
      <c r="DD1540" s="46"/>
      <c r="DE1540" s="46"/>
      <c r="DF1540" s="46"/>
      <c r="DG1540" s="46"/>
      <c r="DH1540" s="46"/>
      <c r="DI1540" s="46"/>
      <c r="DJ1540" s="46"/>
      <c r="DK1540" s="46"/>
      <c r="DL1540" s="46"/>
      <c r="DM1540" s="46"/>
      <c r="DN1540" s="46"/>
      <c r="DO1540" s="46"/>
      <c r="DP1540" s="46"/>
      <c r="DQ1540" s="46"/>
      <c r="DR1540" s="46"/>
      <c r="DS1540" s="46"/>
      <c r="DT1540" s="46"/>
      <c r="DU1540" s="46"/>
      <c r="DV1540" s="46"/>
      <c r="DW1540" s="46"/>
      <c r="DX1540" s="46"/>
      <c r="DY1540" s="46"/>
      <c r="DZ1540" s="46"/>
      <c r="EA1540" s="46"/>
      <c r="EB1540" s="46"/>
      <c r="EC1540" s="46"/>
      <c r="ED1540" s="46"/>
      <c r="EE1540" s="46"/>
      <c r="EF1540" s="46"/>
      <c r="EG1540" s="46"/>
      <c r="EH1540" s="46"/>
      <c r="EI1540" s="46"/>
      <c r="EJ1540" s="46"/>
      <c r="EK1540" s="46"/>
      <c r="EL1540" s="46"/>
      <c r="EM1540" s="46"/>
      <c r="EN1540" s="46"/>
      <c r="EO1540" s="46"/>
      <c r="EP1540" s="46"/>
      <c r="EQ1540" s="46"/>
      <c r="ER1540" s="46"/>
      <c r="ES1540" s="46"/>
      <c r="ET1540" s="46"/>
      <c r="EU1540" s="46"/>
      <c r="EV1540" s="46"/>
      <c r="EW1540" s="46"/>
      <c r="EX1540" s="46"/>
      <c r="EY1540" s="46"/>
      <c r="EZ1540" s="46"/>
      <c r="FA1540" s="46"/>
      <c r="FB1540" s="46"/>
      <c r="FC1540" s="46"/>
      <c r="FD1540" s="46"/>
      <c r="FE1540" s="46"/>
      <c r="FF1540" s="46"/>
      <c r="FG1540" s="46"/>
      <c r="FH1540" s="46"/>
      <c r="FI1540" s="46"/>
      <c r="FJ1540" s="46"/>
      <c r="FK1540" s="46"/>
      <c r="FL1540" s="46"/>
      <c r="FM1540" s="46"/>
      <c r="FN1540" s="46"/>
      <c r="FO1540" s="46"/>
      <c r="FP1540" s="46"/>
      <c r="FQ1540" s="46"/>
      <c r="FR1540" s="46"/>
      <c r="FS1540" s="46"/>
      <c r="FT1540" s="46"/>
      <c r="FU1540" s="46"/>
      <c r="FV1540" s="46"/>
      <c r="FW1540" s="46"/>
      <c r="FX1540" s="46"/>
      <c r="FY1540" s="46"/>
      <c r="FZ1540" s="46"/>
      <c r="GA1540" s="46"/>
      <c r="GB1540" s="46"/>
      <c r="GC1540" s="46"/>
      <c r="GD1540" s="46"/>
      <c r="GE1540" s="46"/>
      <c r="GF1540" s="46"/>
      <c r="GG1540" s="46"/>
      <c r="GH1540" s="46"/>
      <c r="GI1540" s="46"/>
      <c r="GJ1540" s="46"/>
      <c r="GK1540" s="46"/>
      <c r="GL1540" s="46"/>
      <c r="GM1540" s="46"/>
      <c r="GN1540" s="46"/>
      <c r="GO1540" s="46"/>
      <c r="GP1540" s="46"/>
      <c r="GQ1540" s="46"/>
      <c r="GR1540" s="46"/>
      <c r="GS1540" s="46"/>
      <c r="GT1540" s="46"/>
      <c r="GU1540" s="46"/>
    </row>
    <row r="1541" spans="1:203" s="45" customFormat="1" ht="31" customHeight="1" collapsed="1" x14ac:dyDescent="0.35">
      <c r="A1541" s="24">
        <f>A1539+1</f>
        <v>650</v>
      </c>
      <c r="B1541" s="25" t="s">
        <v>657</v>
      </c>
      <c r="C1541" s="89" t="s">
        <v>58</v>
      </c>
      <c r="D1541" s="26">
        <v>4</v>
      </c>
      <c r="E1541" s="41"/>
      <c r="F1541" s="42"/>
      <c r="G1541" s="43"/>
      <c r="H1541" s="44"/>
      <c r="I1541" s="43"/>
      <c r="J1541" s="43"/>
      <c r="N1541" s="44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  <c r="BP1541" s="46"/>
      <c r="BQ1541" s="46"/>
      <c r="BR1541" s="46"/>
      <c r="BS1541" s="46"/>
      <c r="BT1541" s="46"/>
      <c r="BU1541" s="46"/>
      <c r="BV1541" s="46"/>
      <c r="BW1541" s="46"/>
      <c r="BX1541" s="46"/>
      <c r="BY1541" s="46"/>
      <c r="BZ1541" s="46"/>
      <c r="CA1541" s="46"/>
      <c r="CB1541" s="46"/>
      <c r="CC1541" s="46"/>
      <c r="CD1541" s="46"/>
      <c r="CE1541" s="46"/>
      <c r="CF1541" s="46"/>
      <c r="CG1541" s="46"/>
      <c r="CH1541" s="46"/>
      <c r="CI1541" s="46"/>
      <c r="CJ1541" s="46"/>
      <c r="CK1541" s="46"/>
      <c r="CL1541" s="46"/>
      <c r="CM1541" s="46"/>
      <c r="CN1541" s="46"/>
      <c r="CO1541" s="46"/>
      <c r="CP1541" s="46"/>
      <c r="CQ1541" s="46"/>
      <c r="CR1541" s="46"/>
      <c r="CS1541" s="46"/>
      <c r="CT1541" s="46"/>
      <c r="CU1541" s="46"/>
      <c r="CV1541" s="46"/>
      <c r="CW1541" s="46"/>
      <c r="CX1541" s="46"/>
      <c r="CY1541" s="46"/>
      <c r="CZ1541" s="46"/>
      <c r="DA1541" s="46"/>
      <c r="DB1541" s="46"/>
      <c r="DC1541" s="46"/>
      <c r="DD1541" s="46"/>
      <c r="DE1541" s="46"/>
      <c r="DF1541" s="46"/>
      <c r="DG1541" s="46"/>
      <c r="DH1541" s="46"/>
      <c r="DI1541" s="46"/>
      <c r="DJ1541" s="46"/>
      <c r="DK1541" s="46"/>
      <c r="DL1541" s="46"/>
      <c r="DM1541" s="46"/>
      <c r="DN1541" s="46"/>
      <c r="DO1541" s="46"/>
      <c r="DP1541" s="46"/>
      <c r="DQ1541" s="46"/>
      <c r="DR1541" s="46"/>
      <c r="DS1541" s="46"/>
      <c r="DT1541" s="46"/>
      <c r="DU1541" s="46"/>
      <c r="DV1541" s="46"/>
      <c r="DW1541" s="46"/>
      <c r="DX1541" s="46"/>
      <c r="DY1541" s="46"/>
      <c r="DZ1541" s="46"/>
      <c r="EA1541" s="46"/>
      <c r="EB1541" s="46"/>
      <c r="EC1541" s="46"/>
      <c r="ED1541" s="46"/>
      <c r="EE1541" s="46"/>
      <c r="EF1541" s="46"/>
      <c r="EG1541" s="46"/>
      <c r="EH1541" s="46"/>
      <c r="EI1541" s="46"/>
      <c r="EJ1541" s="46"/>
      <c r="EK1541" s="46"/>
      <c r="EL1541" s="46"/>
      <c r="EM1541" s="46"/>
      <c r="EN1541" s="46"/>
      <c r="EO1541" s="46"/>
      <c r="EP1541" s="46"/>
      <c r="EQ1541" s="46"/>
      <c r="ER1541" s="46"/>
      <c r="ES1541" s="46"/>
      <c r="ET1541" s="46"/>
      <c r="EU1541" s="46"/>
      <c r="EV1541" s="46"/>
      <c r="EW1541" s="46"/>
      <c r="EX1541" s="46"/>
      <c r="EY1541" s="46"/>
      <c r="EZ1541" s="46"/>
      <c r="FA1541" s="46"/>
      <c r="FB1541" s="46"/>
      <c r="FC1541" s="46"/>
      <c r="FD1541" s="46"/>
      <c r="FE1541" s="46"/>
      <c r="FF1541" s="46"/>
      <c r="FG1541" s="46"/>
      <c r="FH1541" s="46"/>
      <c r="FI1541" s="46"/>
      <c r="FJ1541" s="46"/>
      <c r="FK1541" s="46"/>
      <c r="FL1541" s="46"/>
      <c r="FM1541" s="46"/>
      <c r="FN1541" s="46"/>
      <c r="FO1541" s="46"/>
      <c r="FP1541" s="46"/>
      <c r="FQ1541" s="46"/>
      <c r="FR1541" s="46"/>
      <c r="FS1541" s="46"/>
      <c r="FT1541" s="46"/>
      <c r="FU1541" s="46"/>
      <c r="FV1541" s="46"/>
      <c r="FW1541" s="46"/>
      <c r="FX1541" s="46"/>
      <c r="FY1541" s="46"/>
      <c r="FZ1541" s="46"/>
      <c r="GA1541" s="46"/>
      <c r="GB1541" s="46"/>
      <c r="GC1541" s="46"/>
      <c r="GD1541" s="46"/>
      <c r="GE1541" s="46"/>
      <c r="GF1541" s="46"/>
      <c r="GG1541" s="46"/>
      <c r="GH1541" s="46"/>
      <c r="GI1541" s="46"/>
      <c r="GJ1541" s="46"/>
      <c r="GK1541" s="46"/>
      <c r="GL1541" s="46"/>
      <c r="GM1541" s="46"/>
      <c r="GN1541" s="46"/>
      <c r="GO1541" s="46"/>
      <c r="GP1541" s="46"/>
      <c r="GQ1541" s="46"/>
      <c r="GR1541" s="46"/>
      <c r="GS1541" s="46"/>
      <c r="GT1541" s="46"/>
      <c r="GU1541" s="46"/>
    </row>
    <row r="1542" spans="1:203" s="45" customFormat="1" ht="61.75" hidden="1" outlineLevel="1" x14ac:dyDescent="0.35">
      <c r="A1542" s="47"/>
      <c r="B1542" s="48" t="s">
        <v>709</v>
      </c>
      <c r="C1542" s="49" t="s">
        <v>58</v>
      </c>
      <c r="D1542" s="49">
        <v>4</v>
      </c>
      <c r="E1542" s="78"/>
      <c r="F1542" s="42"/>
      <c r="G1542" s="43"/>
      <c r="H1542" s="44"/>
      <c r="I1542" s="43"/>
      <c r="J1542" s="43"/>
      <c r="N1542" s="44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  <c r="BP1542" s="46"/>
      <c r="BQ1542" s="46"/>
      <c r="BR1542" s="46"/>
      <c r="BS1542" s="46"/>
      <c r="BT1542" s="46"/>
      <c r="BU1542" s="46"/>
      <c r="BV1542" s="46"/>
      <c r="BW1542" s="46"/>
      <c r="BX1542" s="46"/>
      <c r="BY1542" s="46"/>
      <c r="BZ1542" s="46"/>
      <c r="CA1542" s="46"/>
      <c r="CB1542" s="46"/>
      <c r="CC1542" s="46"/>
      <c r="CD1542" s="46"/>
      <c r="CE1542" s="46"/>
      <c r="CF1542" s="46"/>
      <c r="CG1542" s="46"/>
      <c r="CH1542" s="46"/>
      <c r="CI1542" s="46"/>
      <c r="CJ1542" s="46"/>
      <c r="CK1542" s="46"/>
      <c r="CL1542" s="46"/>
      <c r="CM1542" s="46"/>
      <c r="CN1542" s="46"/>
      <c r="CO1542" s="46"/>
      <c r="CP1542" s="46"/>
      <c r="CQ1542" s="46"/>
      <c r="CR1542" s="46"/>
      <c r="CS1542" s="46"/>
      <c r="CT1542" s="46"/>
      <c r="CU1542" s="46"/>
      <c r="CV1542" s="46"/>
      <c r="CW1542" s="46"/>
      <c r="CX1542" s="46"/>
      <c r="CY1542" s="46"/>
      <c r="CZ1542" s="46"/>
      <c r="DA1542" s="46"/>
      <c r="DB1542" s="46"/>
      <c r="DC1542" s="46"/>
      <c r="DD1542" s="46"/>
      <c r="DE1542" s="46"/>
      <c r="DF1542" s="46"/>
      <c r="DG1542" s="46"/>
      <c r="DH1542" s="46"/>
      <c r="DI1542" s="46"/>
      <c r="DJ1542" s="46"/>
      <c r="DK1542" s="46"/>
      <c r="DL1542" s="46"/>
      <c r="DM1542" s="46"/>
      <c r="DN1542" s="46"/>
      <c r="DO1542" s="46"/>
      <c r="DP1542" s="46"/>
      <c r="DQ1542" s="46"/>
      <c r="DR1542" s="46"/>
      <c r="DS1542" s="46"/>
      <c r="DT1542" s="46"/>
      <c r="DU1542" s="46"/>
      <c r="DV1542" s="46"/>
      <c r="DW1542" s="46"/>
      <c r="DX1542" s="46"/>
      <c r="DY1542" s="46"/>
      <c r="DZ1542" s="46"/>
      <c r="EA1542" s="46"/>
      <c r="EB1542" s="46"/>
      <c r="EC1542" s="46"/>
      <c r="ED1542" s="46"/>
      <c r="EE1542" s="46"/>
      <c r="EF1542" s="46"/>
      <c r="EG1542" s="46"/>
      <c r="EH1542" s="46"/>
      <c r="EI1542" s="46"/>
      <c r="EJ1542" s="46"/>
      <c r="EK1542" s="46"/>
      <c r="EL1542" s="46"/>
      <c r="EM1542" s="46"/>
      <c r="EN1542" s="46"/>
      <c r="EO1542" s="46"/>
      <c r="EP1542" s="46"/>
      <c r="EQ1542" s="46"/>
      <c r="ER1542" s="46"/>
      <c r="ES1542" s="46"/>
      <c r="ET1542" s="46"/>
      <c r="EU1542" s="46"/>
      <c r="EV1542" s="46"/>
      <c r="EW1542" s="46"/>
      <c r="EX1542" s="46"/>
      <c r="EY1542" s="46"/>
      <c r="EZ1542" s="46"/>
      <c r="FA1542" s="46"/>
      <c r="FB1542" s="46"/>
      <c r="FC1542" s="46"/>
      <c r="FD1542" s="46"/>
      <c r="FE1542" s="46"/>
      <c r="FF1542" s="46"/>
      <c r="FG1542" s="46"/>
      <c r="FH1542" s="46"/>
      <c r="FI1542" s="46"/>
      <c r="FJ1542" s="46"/>
      <c r="FK1542" s="46"/>
      <c r="FL1542" s="46"/>
      <c r="FM1542" s="46"/>
      <c r="FN1542" s="46"/>
      <c r="FO1542" s="46"/>
      <c r="FP1542" s="46"/>
      <c r="FQ1542" s="46"/>
      <c r="FR1542" s="46"/>
      <c r="FS1542" s="46"/>
      <c r="FT1542" s="46"/>
      <c r="FU1542" s="46"/>
      <c r="FV1542" s="46"/>
      <c r="FW1542" s="46"/>
      <c r="FX1542" s="46"/>
      <c r="FY1542" s="46"/>
      <c r="FZ1542" s="46"/>
      <c r="GA1542" s="46"/>
      <c r="GB1542" s="46"/>
      <c r="GC1542" s="46"/>
      <c r="GD1542" s="46"/>
      <c r="GE1542" s="46"/>
      <c r="GF1542" s="46"/>
      <c r="GG1542" s="46"/>
      <c r="GH1542" s="46"/>
      <c r="GI1542" s="46"/>
      <c r="GJ1542" s="46"/>
      <c r="GK1542" s="46"/>
      <c r="GL1542" s="46"/>
      <c r="GM1542" s="46"/>
      <c r="GN1542" s="46"/>
      <c r="GO1542" s="46"/>
      <c r="GP1542" s="46"/>
      <c r="GQ1542" s="46"/>
      <c r="GR1542" s="46"/>
      <c r="GS1542" s="46"/>
      <c r="GT1542" s="46"/>
      <c r="GU1542" s="46"/>
    </row>
    <row r="1543" spans="1:203" s="45" customFormat="1" ht="31" customHeight="1" collapsed="1" x14ac:dyDescent="0.35">
      <c r="A1543" s="24">
        <f>A1541+1</f>
        <v>651</v>
      </c>
      <c r="B1543" s="25" t="s">
        <v>577</v>
      </c>
      <c r="C1543" s="89" t="s">
        <v>578</v>
      </c>
      <c r="D1543" s="26">
        <v>1</v>
      </c>
      <c r="E1543" s="41"/>
      <c r="F1543" s="42"/>
      <c r="G1543" s="43"/>
      <c r="H1543" s="44"/>
      <c r="I1543" s="43"/>
      <c r="J1543" s="43"/>
      <c r="N1543" s="44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  <c r="BP1543" s="46"/>
      <c r="BQ1543" s="46"/>
      <c r="BR1543" s="46"/>
      <c r="BS1543" s="46"/>
      <c r="BT1543" s="46"/>
      <c r="BU1543" s="46"/>
      <c r="BV1543" s="46"/>
      <c r="BW1543" s="46"/>
      <c r="BX1543" s="46"/>
      <c r="BY1543" s="46"/>
      <c r="BZ1543" s="46"/>
      <c r="CA1543" s="46"/>
      <c r="CB1543" s="46"/>
      <c r="CC1543" s="46"/>
      <c r="CD1543" s="46"/>
      <c r="CE1543" s="46"/>
      <c r="CF1543" s="46"/>
      <c r="CG1543" s="46"/>
      <c r="CH1543" s="46"/>
      <c r="CI1543" s="46"/>
      <c r="CJ1543" s="46"/>
      <c r="CK1543" s="46"/>
      <c r="CL1543" s="46"/>
      <c r="CM1543" s="46"/>
      <c r="CN1543" s="46"/>
      <c r="CO1543" s="46"/>
      <c r="CP1543" s="46"/>
      <c r="CQ1543" s="46"/>
      <c r="CR1543" s="46"/>
      <c r="CS1543" s="46"/>
      <c r="CT1543" s="46"/>
      <c r="CU1543" s="46"/>
      <c r="CV1543" s="46"/>
      <c r="CW1543" s="46"/>
      <c r="CX1543" s="46"/>
      <c r="CY1543" s="46"/>
      <c r="CZ1543" s="46"/>
      <c r="DA1543" s="46"/>
      <c r="DB1543" s="46"/>
      <c r="DC1543" s="46"/>
      <c r="DD1543" s="46"/>
      <c r="DE1543" s="46"/>
      <c r="DF1543" s="46"/>
      <c r="DG1543" s="46"/>
      <c r="DH1543" s="46"/>
      <c r="DI1543" s="46"/>
      <c r="DJ1543" s="46"/>
      <c r="DK1543" s="46"/>
      <c r="DL1543" s="46"/>
      <c r="DM1543" s="46"/>
      <c r="DN1543" s="46"/>
      <c r="DO1543" s="46"/>
      <c r="DP1543" s="46"/>
      <c r="DQ1543" s="46"/>
      <c r="DR1543" s="46"/>
      <c r="DS1543" s="46"/>
      <c r="DT1543" s="46"/>
      <c r="DU1543" s="46"/>
      <c r="DV1543" s="46"/>
      <c r="DW1543" s="46"/>
      <c r="DX1543" s="46"/>
      <c r="DY1543" s="46"/>
      <c r="DZ1543" s="46"/>
      <c r="EA1543" s="46"/>
      <c r="EB1543" s="46"/>
      <c r="EC1543" s="46"/>
      <c r="ED1543" s="46"/>
      <c r="EE1543" s="46"/>
      <c r="EF1543" s="46"/>
      <c r="EG1543" s="46"/>
      <c r="EH1543" s="46"/>
      <c r="EI1543" s="46"/>
      <c r="EJ1543" s="46"/>
      <c r="EK1543" s="46"/>
      <c r="EL1543" s="46"/>
      <c r="EM1543" s="46"/>
      <c r="EN1543" s="46"/>
      <c r="EO1543" s="46"/>
      <c r="EP1543" s="46"/>
      <c r="EQ1543" s="46"/>
      <c r="ER1543" s="46"/>
      <c r="ES1543" s="46"/>
      <c r="ET1543" s="46"/>
      <c r="EU1543" s="46"/>
      <c r="EV1543" s="46"/>
      <c r="EW1543" s="46"/>
      <c r="EX1543" s="46"/>
      <c r="EY1543" s="46"/>
      <c r="EZ1543" s="46"/>
      <c r="FA1543" s="46"/>
      <c r="FB1543" s="46"/>
      <c r="FC1543" s="46"/>
      <c r="FD1543" s="46"/>
      <c r="FE1543" s="46"/>
      <c r="FF1543" s="46"/>
      <c r="FG1543" s="46"/>
      <c r="FH1543" s="46"/>
      <c r="FI1543" s="46"/>
      <c r="FJ1543" s="46"/>
      <c r="FK1543" s="46"/>
      <c r="FL1543" s="46"/>
      <c r="FM1543" s="46"/>
      <c r="FN1543" s="46"/>
      <c r="FO1543" s="46"/>
      <c r="FP1543" s="46"/>
      <c r="FQ1543" s="46"/>
      <c r="FR1543" s="46"/>
      <c r="FS1543" s="46"/>
      <c r="FT1543" s="46"/>
      <c r="FU1543" s="46"/>
      <c r="FV1543" s="46"/>
      <c r="FW1543" s="46"/>
      <c r="FX1543" s="46"/>
      <c r="FY1543" s="46"/>
      <c r="FZ1543" s="46"/>
      <c r="GA1543" s="46"/>
      <c r="GB1543" s="46"/>
      <c r="GC1543" s="46"/>
      <c r="GD1543" s="46"/>
      <c r="GE1543" s="46"/>
      <c r="GF1543" s="46"/>
      <c r="GG1543" s="46"/>
      <c r="GH1543" s="46"/>
      <c r="GI1543" s="46"/>
      <c r="GJ1543" s="46"/>
      <c r="GK1543" s="46"/>
      <c r="GL1543" s="46"/>
      <c r="GM1543" s="46"/>
      <c r="GN1543" s="46"/>
      <c r="GO1543" s="46"/>
      <c r="GP1543" s="46"/>
      <c r="GQ1543" s="46"/>
      <c r="GR1543" s="46"/>
      <c r="GS1543" s="46"/>
      <c r="GT1543" s="46"/>
      <c r="GU1543" s="46"/>
    </row>
    <row r="1544" spans="1:203" s="45" customFormat="1" ht="30.9" hidden="1" outlineLevel="1" x14ac:dyDescent="0.35">
      <c r="A1544" s="47"/>
      <c r="B1544" s="48" t="s">
        <v>579</v>
      </c>
      <c r="C1544" s="49" t="s">
        <v>58</v>
      </c>
      <c r="D1544" s="49">
        <v>1</v>
      </c>
      <c r="E1544" s="78"/>
      <c r="F1544" s="42"/>
      <c r="G1544" s="43"/>
      <c r="H1544" s="44"/>
      <c r="I1544" s="43"/>
      <c r="J1544" s="43"/>
      <c r="N1544" s="44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  <c r="BP1544" s="46"/>
      <c r="BQ1544" s="46"/>
      <c r="BR1544" s="46"/>
      <c r="BS1544" s="46"/>
      <c r="BT1544" s="46"/>
      <c r="BU1544" s="46"/>
      <c r="BV1544" s="46"/>
      <c r="BW1544" s="46"/>
      <c r="BX1544" s="46"/>
      <c r="BY1544" s="46"/>
      <c r="BZ1544" s="46"/>
      <c r="CA1544" s="46"/>
      <c r="CB1544" s="46"/>
      <c r="CC1544" s="46"/>
      <c r="CD1544" s="46"/>
      <c r="CE1544" s="46"/>
      <c r="CF1544" s="46"/>
      <c r="CG1544" s="46"/>
      <c r="CH1544" s="46"/>
      <c r="CI1544" s="46"/>
      <c r="CJ1544" s="46"/>
      <c r="CK1544" s="46"/>
      <c r="CL1544" s="46"/>
      <c r="CM1544" s="46"/>
      <c r="CN1544" s="46"/>
      <c r="CO1544" s="46"/>
      <c r="CP1544" s="46"/>
      <c r="CQ1544" s="46"/>
      <c r="CR1544" s="46"/>
      <c r="CS1544" s="46"/>
      <c r="CT1544" s="46"/>
      <c r="CU1544" s="46"/>
      <c r="CV1544" s="46"/>
      <c r="CW1544" s="46"/>
      <c r="CX1544" s="46"/>
      <c r="CY1544" s="46"/>
      <c r="CZ1544" s="46"/>
      <c r="DA1544" s="46"/>
      <c r="DB1544" s="46"/>
      <c r="DC1544" s="46"/>
      <c r="DD1544" s="46"/>
      <c r="DE1544" s="46"/>
      <c r="DF1544" s="46"/>
      <c r="DG1544" s="46"/>
      <c r="DH1544" s="46"/>
      <c r="DI1544" s="46"/>
      <c r="DJ1544" s="46"/>
      <c r="DK1544" s="46"/>
      <c r="DL1544" s="46"/>
      <c r="DM1544" s="46"/>
      <c r="DN1544" s="46"/>
      <c r="DO1544" s="46"/>
      <c r="DP1544" s="46"/>
      <c r="DQ1544" s="46"/>
      <c r="DR1544" s="46"/>
      <c r="DS1544" s="46"/>
      <c r="DT1544" s="46"/>
      <c r="DU1544" s="46"/>
      <c r="DV1544" s="46"/>
      <c r="DW1544" s="46"/>
      <c r="DX1544" s="46"/>
      <c r="DY1544" s="46"/>
      <c r="DZ1544" s="46"/>
      <c r="EA1544" s="46"/>
      <c r="EB1544" s="46"/>
      <c r="EC1544" s="46"/>
      <c r="ED1544" s="46"/>
      <c r="EE1544" s="46"/>
      <c r="EF1544" s="46"/>
      <c r="EG1544" s="46"/>
      <c r="EH1544" s="46"/>
      <c r="EI1544" s="46"/>
      <c r="EJ1544" s="46"/>
      <c r="EK1544" s="46"/>
      <c r="EL1544" s="46"/>
      <c r="EM1544" s="46"/>
      <c r="EN1544" s="46"/>
      <c r="EO1544" s="46"/>
      <c r="EP1544" s="46"/>
      <c r="EQ1544" s="46"/>
      <c r="ER1544" s="46"/>
      <c r="ES1544" s="46"/>
      <c r="ET1544" s="46"/>
      <c r="EU1544" s="46"/>
      <c r="EV1544" s="46"/>
      <c r="EW1544" s="46"/>
      <c r="EX1544" s="46"/>
      <c r="EY1544" s="46"/>
      <c r="EZ1544" s="46"/>
      <c r="FA1544" s="46"/>
      <c r="FB1544" s="46"/>
      <c r="FC1544" s="46"/>
      <c r="FD1544" s="46"/>
      <c r="FE1544" s="46"/>
      <c r="FF1544" s="46"/>
      <c r="FG1544" s="46"/>
      <c r="FH1544" s="46"/>
      <c r="FI1544" s="46"/>
      <c r="FJ1544" s="46"/>
      <c r="FK1544" s="46"/>
      <c r="FL1544" s="46"/>
      <c r="FM1544" s="46"/>
      <c r="FN1544" s="46"/>
      <c r="FO1544" s="46"/>
      <c r="FP1544" s="46"/>
      <c r="FQ1544" s="46"/>
      <c r="FR1544" s="46"/>
      <c r="FS1544" s="46"/>
      <c r="FT1544" s="46"/>
      <c r="FU1544" s="46"/>
      <c r="FV1544" s="46"/>
      <c r="FW1544" s="46"/>
      <c r="FX1544" s="46"/>
      <c r="FY1544" s="46"/>
      <c r="FZ1544" s="46"/>
      <c r="GA1544" s="46"/>
      <c r="GB1544" s="46"/>
      <c r="GC1544" s="46"/>
      <c r="GD1544" s="46"/>
      <c r="GE1544" s="46"/>
      <c r="GF1544" s="46"/>
      <c r="GG1544" s="46"/>
      <c r="GH1544" s="46"/>
      <c r="GI1544" s="46"/>
      <c r="GJ1544" s="46"/>
      <c r="GK1544" s="46"/>
      <c r="GL1544" s="46"/>
      <c r="GM1544" s="46"/>
      <c r="GN1544" s="46"/>
      <c r="GO1544" s="46"/>
      <c r="GP1544" s="46"/>
      <c r="GQ1544" s="46"/>
      <c r="GR1544" s="46"/>
      <c r="GS1544" s="46"/>
      <c r="GT1544" s="46"/>
      <c r="GU1544" s="46"/>
    </row>
    <row r="1545" spans="1:203" s="45" customFormat="1" ht="31" customHeight="1" collapsed="1" x14ac:dyDescent="0.35">
      <c r="A1545" s="24">
        <f>A1543+1</f>
        <v>652</v>
      </c>
      <c r="B1545" s="25" t="s">
        <v>580</v>
      </c>
      <c r="C1545" s="89" t="s">
        <v>58</v>
      </c>
      <c r="D1545" s="26">
        <v>1</v>
      </c>
      <c r="E1545" s="41"/>
      <c r="F1545" s="42"/>
      <c r="G1545" s="43"/>
      <c r="H1545" s="44"/>
      <c r="I1545" s="43"/>
      <c r="J1545" s="43"/>
      <c r="N1545" s="44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  <c r="BP1545" s="46"/>
      <c r="BQ1545" s="46"/>
      <c r="BR1545" s="46"/>
      <c r="BS1545" s="46"/>
      <c r="BT1545" s="46"/>
      <c r="BU1545" s="46"/>
      <c r="BV1545" s="46"/>
      <c r="BW1545" s="46"/>
      <c r="BX1545" s="46"/>
      <c r="BY1545" s="46"/>
      <c r="BZ1545" s="46"/>
      <c r="CA1545" s="46"/>
      <c r="CB1545" s="46"/>
      <c r="CC1545" s="46"/>
      <c r="CD1545" s="46"/>
      <c r="CE1545" s="46"/>
      <c r="CF1545" s="46"/>
      <c r="CG1545" s="46"/>
      <c r="CH1545" s="46"/>
      <c r="CI1545" s="46"/>
      <c r="CJ1545" s="46"/>
      <c r="CK1545" s="46"/>
      <c r="CL1545" s="46"/>
      <c r="CM1545" s="46"/>
      <c r="CN1545" s="46"/>
      <c r="CO1545" s="46"/>
      <c r="CP1545" s="46"/>
      <c r="CQ1545" s="46"/>
      <c r="CR1545" s="46"/>
      <c r="CS1545" s="46"/>
      <c r="CT1545" s="46"/>
      <c r="CU1545" s="46"/>
      <c r="CV1545" s="46"/>
      <c r="CW1545" s="46"/>
      <c r="CX1545" s="46"/>
      <c r="CY1545" s="46"/>
      <c r="CZ1545" s="46"/>
      <c r="DA1545" s="46"/>
      <c r="DB1545" s="46"/>
      <c r="DC1545" s="46"/>
      <c r="DD1545" s="46"/>
      <c r="DE1545" s="46"/>
      <c r="DF1545" s="46"/>
      <c r="DG1545" s="46"/>
      <c r="DH1545" s="46"/>
      <c r="DI1545" s="46"/>
      <c r="DJ1545" s="46"/>
      <c r="DK1545" s="46"/>
      <c r="DL1545" s="46"/>
      <c r="DM1545" s="46"/>
      <c r="DN1545" s="46"/>
      <c r="DO1545" s="46"/>
      <c r="DP1545" s="46"/>
      <c r="DQ1545" s="46"/>
      <c r="DR1545" s="46"/>
      <c r="DS1545" s="46"/>
      <c r="DT1545" s="46"/>
      <c r="DU1545" s="46"/>
      <c r="DV1545" s="46"/>
      <c r="DW1545" s="46"/>
      <c r="DX1545" s="46"/>
      <c r="DY1545" s="46"/>
      <c r="DZ1545" s="46"/>
      <c r="EA1545" s="46"/>
      <c r="EB1545" s="46"/>
      <c r="EC1545" s="46"/>
      <c r="ED1545" s="46"/>
      <c r="EE1545" s="46"/>
      <c r="EF1545" s="46"/>
      <c r="EG1545" s="46"/>
      <c r="EH1545" s="46"/>
      <c r="EI1545" s="46"/>
      <c r="EJ1545" s="46"/>
      <c r="EK1545" s="46"/>
      <c r="EL1545" s="46"/>
      <c r="EM1545" s="46"/>
      <c r="EN1545" s="46"/>
      <c r="EO1545" s="46"/>
      <c r="EP1545" s="46"/>
      <c r="EQ1545" s="46"/>
      <c r="ER1545" s="46"/>
      <c r="ES1545" s="46"/>
      <c r="ET1545" s="46"/>
      <c r="EU1545" s="46"/>
      <c r="EV1545" s="46"/>
      <c r="EW1545" s="46"/>
      <c r="EX1545" s="46"/>
      <c r="EY1545" s="46"/>
      <c r="EZ1545" s="46"/>
      <c r="FA1545" s="46"/>
      <c r="FB1545" s="46"/>
      <c r="FC1545" s="46"/>
      <c r="FD1545" s="46"/>
      <c r="FE1545" s="46"/>
      <c r="FF1545" s="46"/>
      <c r="FG1545" s="46"/>
      <c r="FH1545" s="46"/>
      <c r="FI1545" s="46"/>
      <c r="FJ1545" s="46"/>
      <c r="FK1545" s="46"/>
      <c r="FL1545" s="46"/>
      <c r="FM1545" s="46"/>
      <c r="FN1545" s="46"/>
      <c r="FO1545" s="46"/>
      <c r="FP1545" s="46"/>
      <c r="FQ1545" s="46"/>
      <c r="FR1545" s="46"/>
      <c r="FS1545" s="46"/>
      <c r="FT1545" s="46"/>
      <c r="FU1545" s="46"/>
      <c r="FV1545" s="46"/>
      <c r="FW1545" s="46"/>
      <c r="FX1545" s="46"/>
      <c r="FY1545" s="46"/>
      <c r="FZ1545" s="46"/>
      <c r="GA1545" s="46"/>
      <c r="GB1545" s="46"/>
      <c r="GC1545" s="46"/>
      <c r="GD1545" s="46"/>
      <c r="GE1545" s="46"/>
      <c r="GF1545" s="46"/>
      <c r="GG1545" s="46"/>
      <c r="GH1545" s="46"/>
      <c r="GI1545" s="46"/>
      <c r="GJ1545" s="46"/>
      <c r="GK1545" s="46"/>
      <c r="GL1545" s="46"/>
      <c r="GM1545" s="46"/>
      <c r="GN1545" s="46"/>
      <c r="GO1545" s="46"/>
      <c r="GP1545" s="46"/>
      <c r="GQ1545" s="46"/>
      <c r="GR1545" s="46"/>
      <c r="GS1545" s="46"/>
      <c r="GT1545" s="46"/>
      <c r="GU1545" s="46"/>
    </row>
    <row r="1546" spans="1:203" s="45" customFormat="1" ht="123.45" hidden="1" outlineLevel="1" x14ac:dyDescent="0.35">
      <c r="A1546" s="47"/>
      <c r="B1546" s="48" t="s">
        <v>581</v>
      </c>
      <c r="C1546" s="49" t="s">
        <v>58</v>
      </c>
      <c r="D1546" s="49">
        <v>1</v>
      </c>
      <c r="E1546" s="78"/>
      <c r="F1546" s="42"/>
      <c r="G1546" s="43"/>
      <c r="H1546" s="44"/>
      <c r="I1546" s="43"/>
      <c r="J1546" s="43"/>
      <c r="N1546" s="44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  <c r="BP1546" s="46"/>
      <c r="BQ1546" s="46"/>
      <c r="BR1546" s="46"/>
      <c r="BS1546" s="46"/>
      <c r="BT1546" s="46"/>
      <c r="BU1546" s="46"/>
      <c r="BV1546" s="46"/>
      <c r="BW1546" s="46"/>
      <c r="BX1546" s="46"/>
      <c r="BY1546" s="46"/>
      <c r="BZ1546" s="46"/>
      <c r="CA1546" s="46"/>
      <c r="CB1546" s="46"/>
      <c r="CC1546" s="46"/>
      <c r="CD1546" s="46"/>
      <c r="CE1546" s="46"/>
      <c r="CF1546" s="46"/>
      <c r="CG1546" s="46"/>
      <c r="CH1546" s="46"/>
      <c r="CI1546" s="46"/>
      <c r="CJ1546" s="46"/>
      <c r="CK1546" s="46"/>
      <c r="CL1546" s="46"/>
      <c r="CM1546" s="46"/>
      <c r="CN1546" s="46"/>
      <c r="CO1546" s="46"/>
      <c r="CP1546" s="46"/>
      <c r="CQ1546" s="46"/>
      <c r="CR1546" s="46"/>
      <c r="CS1546" s="46"/>
      <c r="CT1546" s="46"/>
      <c r="CU1546" s="46"/>
      <c r="CV1546" s="46"/>
      <c r="CW1546" s="46"/>
      <c r="CX1546" s="46"/>
      <c r="CY1546" s="46"/>
      <c r="CZ1546" s="46"/>
      <c r="DA1546" s="46"/>
      <c r="DB1546" s="46"/>
      <c r="DC1546" s="46"/>
      <c r="DD1546" s="46"/>
      <c r="DE1546" s="46"/>
      <c r="DF1546" s="46"/>
      <c r="DG1546" s="46"/>
      <c r="DH1546" s="46"/>
      <c r="DI1546" s="46"/>
      <c r="DJ1546" s="46"/>
      <c r="DK1546" s="46"/>
      <c r="DL1546" s="46"/>
      <c r="DM1546" s="46"/>
      <c r="DN1546" s="46"/>
      <c r="DO1546" s="46"/>
      <c r="DP1546" s="46"/>
      <c r="DQ1546" s="46"/>
      <c r="DR1546" s="46"/>
      <c r="DS1546" s="46"/>
      <c r="DT1546" s="46"/>
      <c r="DU1546" s="46"/>
      <c r="DV1546" s="46"/>
      <c r="DW1546" s="46"/>
      <c r="DX1546" s="46"/>
      <c r="DY1546" s="46"/>
      <c r="DZ1546" s="46"/>
      <c r="EA1546" s="46"/>
      <c r="EB1546" s="46"/>
      <c r="EC1546" s="46"/>
      <c r="ED1546" s="46"/>
      <c r="EE1546" s="46"/>
      <c r="EF1546" s="46"/>
      <c r="EG1546" s="46"/>
      <c r="EH1546" s="46"/>
      <c r="EI1546" s="46"/>
      <c r="EJ1546" s="46"/>
      <c r="EK1546" s="46"/>
      <c r="EL1546" s="46"/>
      <c r="EM1546" s="46"/>
      <c r="EN1546" s="46"/>
      <c r="EO1546" s="46"/>
      <c r="EP1546" s="46"/>
      <c r="EQ1546" s="46"/>
      <c r="ER1546" s="46"/>
      <c r="ES1546" s="46"/>
      <c r="ET1546" s="46"/>
      <c r="EU1546" s="46"/>
      <c r="EV1546" s="46"/>
      <c r="EW1546" s="46"/>
      <c r="EX1546" s="46"/>
      <c r="EY1546" s="46"/>
      <c r="EZ1546" s="46"/>
      <c r="FA1546" s="46"/>
      <c r="FB1546" s="46"/>
      <c r="FC1546" s="46"/>
      <c r="FD1546" s="46"/>
      <c r="FE1546" s="46"/>
      <c r="FF1546" s="46"/>
      <c r="FG1546" s="46"/>
      <c r="FH1546" s="46"/>
      <c r="FI1546" s="46"/>
      <c r="FJ1546" s="46"/>
      <c r="FK1546" s="46"/>
      <c r="FL1546" s="46"/>
      <c r="FM1546" s="46"/>
      <c r="FN1546" s="46"/>
      <c r="FO1546" s="46"/>
      <c r="FP1546" s="46"/>
      <c r="FQ1546" s="46"/>
      <c r="FR1546" s="46"/>
      <c r="FS1546" s="46"/>
      <c r="FT1546" s="46"/>
      <c r="FU1546" s="46"/>
      <c r="FV1546" s="46"/>
      <c r="FW1546" s="46"/>
      <c r="FX1546" s="46"/>
      <c r="FY1546" s="46"/>
      <c r="FZ1546" s="46"/>
      <c r="GA1546" s="46"/>
      <c r="GB1546" s="46"/>
      <c r="GC1546" s="46"/>
      <c r="GD1546" s="46"/>
      <c r="GE1546" s="46"/>
      <c r="GF1546" s="46"/>
      <c r="GG1546" s="46"/>
      <c r="GH1546" s="46"/>
      <c r="GI1546" s="46"/>
      <c r="GJ1546" s="46"/>
      <c r="GK1546" s="46"/>
      <c r="GL1546" s="46"/>
      <c r="GM1546" s="46"/>
      <c r="GN1546" s="46"/>
      <c r="GO1546" s="46"/>
      <c r="GP1546" s="46"/>
      <c r="GQ1546" s="46"/>
      <c r="GR1546" s="46"/>
      <c r="GS1546" s="46"/>
      <c r="GT1546" s="46"/>
      <c r="GU1546" s="46"/>
    </row>
    <row r="1547" spans="1:203" s="58" customFormat="1" ht="30" customHeight="1" collapsed="1" x14ac:dyDescent="0.4">
      <c r="A1547" s="24">
        <f>A1545+1</f>
        <v>653</v>
      </c>
      <c r="B1547" s="25" t="s">
        <v>582</v>
      </c>
      <c r="C1547" s="89" t="s">
        <v>132</v>
      </c>
      <c r="D1547" s="90">
        <v>490</v>
      </c>
      <c r="E1547" s="91"/>
      <c r="F1547" s="57"/>
    </row>
    <row r="1548" spans="1:203" s="58" customFormat="1" ht="30" hidden="1" customHeight="1" outlineLevel="1" x14ac:dyDescent="0.4">
      <c r="A1548" s="87"/>
      <c r="B1548" s="48" t="s">
        <v>454</v>
      </c>
      <c r="C1548" s="75" t="s">
        <v>132</v>
      </c>
      <c r="D1548" s="74">
        <v>70</v>
      </c>
      <c r="E1548" s="88">
        <v>2.1999999999999999E-2</v>
      </c>
      <c r="F1548" s="57"/>
    </row>
    <row r="1549" spans="1:203" s="58" customFormat="1" ht="30" hidden="1" customHeight="1" outlineLevel="1" x14ac:dyDescent="0.4">
      <c r="A1549" s="87"/>
      <c r="B1549" s="48" t="s">
        <v>583</v>
      </c>
      <c r="C1549" s="75" t="s">
        <v>132</v>
      </c>
      <c r="D1549" s="74">
        <v>20</v>
      </c>
      <c r="E1549" s="88">
        <v>6.0000000000000001E-3</v>
      </c>
      <c r="F1549" s="57"/>
    </row>
    <row r="1550" spans="1:203" s="58" customFormat="1" ht="30" hidden="1" customHeight="1" outlineLevel="1" x14ac:dyDescent="0.4">
      <c r="A1550" s="87"/>
      <c r="B1550" s="48" t="s">
        <v>584</v>
      </c>
      <c r="C1550" s="75" t="s">
        <v>132</v>
      </c>
      <c r="D1550" s="74">
        <v>400</v>
      </c>
      <c r="E1550" s="88">
        <v>0.124</v>
      </c>
      <c r="F1550" s="57"/>
    </row>
    <row r="1551" spans="1:203" s="58" customFormat="1" ht="30" hidden="1" customHeight="1" outlineLevel="1" x14ac:dyDescent="0.4">
      <c r="A1551" s="87"/>
      <c r="B1551" s="48" t="s">
        <v>441</v>
      </c>
      <c r="C1551" s="75" t="s">
        <v>58</v>
      </c>
      <c r="D1551" s="74">
        <v>20</v>
      </c>
      <c r="E1551" s="88"/>
      <c r="F1551" s="57"/>
    </row>
    <row r="1552" spans="1:203" s="58" customFormat="1" ht="30" customHeight="1" collapsed="1" x14ac:dyDescent="0.4">
      <c r="A1552" s="24">
        <f>A1547+1</f>
        <v>654</v>
      </c>
      <c r="B1552" s="25" t="s">
        <v>316</v>
      </c>
      <c r="C1552" s="89" t="s">
        <v>132</v>
      </c>
      <c r="D1552" s="96">
        <v>10</v>
      </c>
      <c r="E1552" s="98"/>
      <c r="F1552" s="57"/>
      <c r="O1552" s="58" t="s">
        <v>442</v>
      </c>
    </row>
    <row r="1553" spans="1:203" s="58" customFormat="1" ht="30" hidden="1" customHeight="1" outlineLevel="1" x14ac:dyDescent="0.4">
      <c r="A1553" s="87"/>
      <c r="B1553" s="48" t="s">
        <v>317</v>
      </c>
      <c r="C1553" s="75" t="s">
        <v>132</v>
      </c>
      <c r="D1553" s="74">
        <v>10</v>
      </c>
      <c r="E1553" s="93"/>
      <c r="F1553" s="57"/>
    </row>
    <row r="1554" spans="1:203" s="58" customFormat="1" ht="30" customHeight="1" collapsed="1" x14ac:dyDescent="0.4">
      <c r="A1554" s="24">
        <f>A1552+1</f>
        <v>655</v>
      </c>
      <c r="B1554" s="25" t="s">
        <v>340</v>
      </c>
      <c r="C1554" s="89" t="s">
        <v>132</v>
      </c>
      <c r="D1554" s="90">
        <v>74</v>
      </c>
      <c r="E1554" s="99"/>
      <c r="F1554" s="57"/>
    </row>
    <row r="1555" spans="1:203" s="58" customFormat="1" ht="30" hidden="1" customHeight="1" outlineLevel="1" x14ac:dyDescent="0.4">
      <c r="A1555" s="87"/>
      <c r="B1555" s="48" t="s">
        <v>341</v>
      </c>
      <c r="C1555" s="75" t="s">
        <v>14</v>
      </c>
      <c r="D1555" s="77">
        <f>74*1.66/1000*1.1</f>
        <v>0.13512399999999999</v>
      </c>
      <c r="E1555" s="88">
        <v>0.13500000000000001</v>
      </c>
      <c r="F1555" s="57"/>
    </row>
    <row r="1556" spans="1:203" s="58" customFormat="1" ht="30" customHeight="1" collapsed="1" x14ac:dyDescent="0.4">
      <c r="A1556" s="24">
        <f>A1554+1</f>
        <v>656</v>
      </c>
      <c r="B1556" s="25" t="s">
        <v>284</v>
      </c>
      <c r="C1556" s="89" t="s">
        <v>132</v>
      </c>
      <c r="D1556" s="90">
        <v>22</v>
      </c>
      <c r="E1556" s="91"/>
      <c r="F1556" s="57"/>
    </row>
    <row r="1557" spans="1:203" s="58" customFormat="1" ht="30" hidden="1" customHeight="1" outlineLevel="1" x14ac:dyDescent="0.4">
      <c r="A1557" s="87"/>
      <c r="B1557" s="48" t="s">
        <v>342</v>
      </c>
      <c r="C1557" s="75" t="s">
        <v>132</v>
      </c>
      <c r="D1557" s="74">
        <v>16</v>
      </c>
      <c r="E1557" s="88"/>
      <c r="F1557" s="57"/>
    </row>
    <row r="1558" spans="1:203" s="58" customFormat="1" ht="30" hidden="1" customHeight="1" outlineLevel="1" x14ac:dyDescent="0.4">
      <c r="A1558" s="87"/>
      <c r="B1558" s="48" t="s">
        <v>587</v>
      </c>
      <c r="C1558" s="75" t="s">
        <v>132</v>
      </c>
      <c r="D1558" s="74">
        <v>6</v>
      </c>
      <c r="E1558" s="88"/>
      <c r="F1558" s="57"/>
    </row>
    <row r="1559" spans="1:203" s="58" customFormat="1" ht="30" hidden="1" customHeight="1" outlineLevel="1" x14ac:dyDescent="0.4">
      <c r="A1559" s="87"/>
      <c r="B1559" s="48" t="s">
        <v>343</v>
      </c>
      <c r="C1559" s="75" t="s">
        <v>132</v>
      </c>
      <c r="D1559" s="74">
        <v>16</v>
      </c>
      <c r="E1559" s="88"/>
      <c r="F1559" s="57"/>
    </row>
    <row r="1560" spans="1:203" s="58" customFormat="1" ht="30" hidden="1" customHeight="1" outlineLevel="1" x14ac:dyDescent="0.4">
      <c r="A1560" s="87"/>
      <c r="B1560" s="48" t="s">
        <v>348</v>
      </c>
      <c r="C1560" s="75" t="s">
        <v>349</v>
      </c>
      <c r="D1560" s="74">
        <v>1</v>
      </c>
      <c r="E1560" s="88"/>
      <c r="F1560" s="57"/>
    </row>
    <row r="1561" spans="1:203" s="58" customFormat="1" ht="30" customHeight="1" collapsed="1" x14ac:dyDescent="0.4">
      <c r="A1561" s="24">
        <f>A1556+1</f>
        <v>657</v>
      </c>
      <c r="B1561" s="25" t="s">
        <v>588</v>
      </c>
      <c r="C1561" s="89" t="s">
        <v>58</v>
      </c>
      <c r="D1561" s="90">
        <v>1</v>
      </c>
      <c r="E1561" s="99"/>
      <c r="F1561" s="57"/>
    </row>
    <row r="1562" spans="1:203" s="58" customFormat="1" ht="46.3" hidden="1" outlineLevel="1" x14ac:dyDescent="0.4">
      <c r="A1562" s="87"/>
      <c r="B1562" s="48" t="s">
        <v>710</v>
      </c>
      <c r="C1562" s="75" t="s">
        <v>58</v>
      </c>
      <c r="D1562" s="74">
        <v>1</v>
      </c>
      <c r="E1562" s="88"/>
      <c r="F1562" s="57"/>
    </row>
    <row r="1563" spans="1:203" s="43" customFormat="1" ht="31" customHeight="1" collapsed="1" x14ac:dyDescent="0.35">
      <c r="A1563" s="24">
        <f>A1561+1</f>
        <v>658</v>
      </c>
      <c r="B1563" s="25" t="s">
        <v>592</v>
      </c>
      <c r="C1563" s="89" t="s">
        <v>58</v>
      </c>
      <c r="D1563" s="26">
        <v>4</v>
      </c>
      <c r="E1563" s="41"/>
      <c r="F1563" s="42"/>
      <c r="H1563" s="44"/>
      <c r="K1563" s="45"/>
      <c r="L1563" s="45"/>
      <c r="M1563" s="45"/>
      <c r="N1563" s="44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  <c r="BP1563" s="46"/>
      <c r="BQ1563" s="46"/>
      <c r="BR1563" s="46"/>
      <c r="BS1563" s="46"/>
      <c r="BT1563" s="46"/>
      <c r="BU1563" s="46"/>
      <c r="BV1563" s="46"/>
      <c r="BW1563" s="46"/>
      <c r="BX1563" s="46"/>
      <c r="BY1563" s="46"/>
      <c r="BZ1563" s="46"/>
      <c r="CA1563" s="46"/>
      <c r="CB1563" s="46"/>
      <c r="CC1563" s="46"/>
      <c r="CD1563" s="46"/>
      <c r="CE1563" s="46"/>
      <c r="CF1563" s="46"/>
      <c r="CG1563" s="46"/>
      <c r="CH1563" s="46"/>
      <c r="CI1563" s="46"/>
      <c r="CJ1563" s="46"/>
      <c r="CK1563" s="46"/>
      <c r="CL1563" s="46"/>
      <c r="CM1563" s="46"/>
      <c r="CN1563" s="46"/>
      <c r="CO1563" s="46"/>
      <c r="CP1563" s="46"/>
      <c r="CQ1563" s="46"/>
      <c r="CR1563" s="46"/>
      <c r="CS1563" s="46"/>
      <c r="CT1563" s="46"/>
      <c r="CU1563" s="46"/>
      <c r="CV1563" s="46"/>
      <c r="CW1563" s="46"/>
      <c r="CX1563" s="46"/>
      <c r="CY1563" s="46"/>
      <c r="CZ1563" s="46"/>
      <c r="DA1563" s="46"/>
      <c r="DB1563" s="46"/>
      <c r="DC1563" s="46"/>
      <c r="DD1563" s="46"/>
      <c r="DE1563" s="46"/>
      <c r="DF1563" s="46"/>
      <c r="DG1563" s="46"/>
      <c r="DH1563" s="46"/>
      <c r="DI1563" s="46"/>
      <c r="DJ1563" s="46"/>
      <c r="DK1563" s="46"/>
      <c r="DL1563" s="46"/>
      <c r="DM1563" s="46"/>
      <c r="DN1563" s="46"/>
      <c r="DO1563" s="46"/>
      <c r="DP1563" s="46"/>
      <c r="DQ1563" s="46"/>
      <c r="DR1563" s="46"/>
      <c r="DS1563" s="46"/>
      <c r="DT1563" s="46"/>
      <c r="DU1563" s="46"/>
      <c r="DV1563" s="46"/>
      <c r="DW1563" s="46"/>
      <c r="DX1563" s="46"/>
      <c r="DY1563" s="46"/>
      <c r="DZ1563" s="46"/>
      <c r="EA1563" s="46"/>
      <c r="EB1563" s="46"/>
      <c r="EC1563" s="46"/>
      <c r="ED1563" s="46"/>
      <c r="EE1563" s="46"/>
      <c r="EF1563" s="46"/>
      <c r="EG1563" s="46"/>
      <c r="EH1563" s="46"/>
      <c r="EI1563" s="46"/>
      <c r="EJ1563" s="46"/>
      <c r="EK1563" s="46"/>
      <c r="EL1563" s="46"/>
      <c r="EM1563" s="46"/>
      <c r="EN1563" s="46"/>
      <c r="EO1563" s="46"/>
      <c r="EP1563" s="46"/>
      <c r="EQ1563" s="46"/>
      <c r="ER1563" s="46"/>
      <c r="ES1563" s="46"/>
      <c r="ET1563" s="46"/>
      <c r="EU1563" s="46"/>
      <c r="EV1563" s="46"/>
      <c r="EW1563" s="46"/>
      <c r="EX1563" s="46"/>
      <c r="EY1563" s="46"/>
      <c r="EZ1563" s="46"/>
      <c r="FA1563" s="46"/>
      <c r="FB1563" s="46"/>
      <c r="FC1563" s="46"/>
      <c r="FD1563" s="46"/>
      <c r="FE1563" s="46"/>
      <c r="FF1563" s="46"/>
      <c r="FG1563" s="46"/>
      <c r="FH1563" s="46"/>
      <c r="FI1563" s="46"/>
      <c r="FJ1563" s="46"/>
      <c r="FK1563" s="46"/>
      <c r="FL1563" s="46"/>
      <c r="FM1563" s="46"/>
      <c r="FN1563" s="46"/>
      <c r="FO1563" s="46"/>
      <c r="FP1563" s="46"/>
      <c r="FQ1563" s="46"/>
      <c r="FR1563" s="46"/>
      <c r="FS1563" s="46"/>
      <c r="FT1563" s="46"/>
      <c r="FU1563" s="46"/>
      <c r="FV1563" s="46"/>
      <c r="FW1563" s="46"/>
      <c r="FX1563" s="46"/>
      <c r="FY1563" s="46"/>
      <c r="FZ1563" s="46"/>
      <c r="GA1563" s="46"/>
      <c r="GB1563" s="46"/>
      <c r="GC1563" s="46"/>
      <c r="GD1563" s="46"/>
      <c r="GE1563" s="46"/>
      <c r="GF1563" s="46"/>
      <c r="GG1563" s="46"/>
      <c r="GH1563" s="46"/>
      <c r="GI1563" s="46"/>
      <c r="GJ1563" s="46"/>
      <c r="GK1563" s="46"/>
      <c r="GL1563" s="46"/>
      <c r="GM1563" s="46"/>
      <c r="GN1563" s="46"/>
      <c r="GO1563" s="46"/>
      <c r="GP1563" s="46"/>
      <c r="GQ1563" s="46"/>
      <c r="GR1563" s="46"/>
      <c r="GS1563" s="46"/>
      <c r="GT1563" s="46"/>
      <c r="GU1563" s="46"/>
    </row>
    <row r="1564" spans="1:203" s="43" customFormat="1" ht="30" hidden="1" customHeight="1" outlineLevel="1" x14ac:dyDescent="0.35">
      <c r="A1564" s="47"/>
      <c r="B1564" s="48" t="s">
        <v>593</v>
      </c>
      <c r="C1564" s="49" t="s">
        <v>58</v>
      </c>
      <c r="D1564" s="49">
        <v>5</v>
      </c>
      <c r="E1564" s="78"/>
      <c r="F1564" s="42"/>
      <c r="H1564" s="44"/>
      <c r="K1564" s="45"/>
      <c r="L1564" s="45"/>
      <c r="M1564" s="45"/>
      <c r="N1564" s="44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  <c r="BP1564" s="46"/>
      <c r="BQ1564" s="46"/>
      <c r="BR1564" s="46"/>
      <c r="BS1564" s="46"/>
      <c r="BT1564" s="46"/>
      <c r="BU1564" s="46"/>
      <c r="BV1564" s="46"/>
      <c r="BW1564" s="46"/>
      <c r="BX1564" s="46"/>
      <c r="BY1564" s="46"/>
      <c r="BZ1564" s="46"/>
      <c r="CA1564" s="46"/>
      <c r="CB1564" s="46"/>
      <c r="CC1564" s="46"/>
      <c r="CD1564" s="46"/>
      <c r="CE1564" s="46"/>
      <c r="CF1564" s="46"/>
      <c r="CG1564" s="46"/>
      <c r="CH1564" s="46"/>
      <c r="CI1564" s="46"/>
      <c r="CJ1564" s="46"/>
      <c r="CK1564" s="46"/>
      <c r="CL1564" s="46"/>
      <c r="CM1564" s="46"/>
      <c r="CN1564" s="46"/>
      <c r="CO1564" s="46"/>
      <c r="CP1564" s="46"/>
      <c r="CQ1564" s="46"/>
      <c r="CR1564" s="46"/>
      <c r="CS1564" s="46"/>
      <c r="CT1564" s="46"/>
      <c r="CU1564" s="46"/>
      <c r="CV1564" s="46"/>
      <c r="CW1564" s="46"/>
      <c r="CX1564" s="46"/>
      <c r="CY1564" s="46"/>
      <c r="CZ1564" s="46"/>
      <c r="DA1564" s="46"/>
      <c r="DB1564" s="46"/>
      <c r="DC1564" s="46"/>
      <c r="DD1564" s="46"/>
      <c r="DE1564" s="46"/>
      <c r="DF1564" s="46"/>
      <c r="DG1564" s="46"/>
      <c r="DH1564" s="46"/>
      <c r="DI1564" s="46"/>
      <c r="DJ1564" s="46"/>
      <c r="DK1564" s="46"/>
      <c r="DL1564" s="46"/>
      <c r="DM1564" s="46"/>
      <c r="DN1564" s="46"/>
      <c r="DO1564" s="46"/>
      <c r="DP1564" s="46"/>
      <c r="DQ1564" s="46"/>
      <c r="DR1564" s="46"/>
      <c r="DS1564" s="46"/>
      <c r="DT1564" s="46"/>
      <c r="DU1564" s="46"/>
      <c r="DV1564" s="46"/>
      <c r="DW1564" s="46"/>
      <c r="DX1564" s="46"/>
      <c r="DY1564" s="46"/>
      <c r="DZ1564" s="46"/>
      <c r="EA1564" s="46"/>
      <c r="EB1564" s="46"/>
      <c r="EC1564" s="46"/>
      <c r="ED1564" s="46"/>
      <c r="EE1564" s="46"/>
      <c r="EF1564" s="46"/>
      <c r="EG1564" s="46"/>
      <c r="EH1564" s="46"/>
      <c r="EI1564" s="46"/>
      <c r="EJ1564" s="46"/>
      <c r="EK1564" s="46"/>
      <c r="EL1564" s="46"/>
      <c r="EM1564" s="46"/>
      <c r="EN1564" s="46"/>
      <c r="EO1564" s="46"/>
      <c r="EP1564" s="46"/>
      <c r="EQ1564" s="46"/>
      <c r="ER1564" s="46"/>
      <c r="ES1564" s="46"/>
      <c r="ET1564" s="46"/>
      <c r="EU1564" s="46"/>
      <c r="EV1564" s="46"/>
      <c r="EW1564" s="46"/>
      <c r="EX1564" s="46"/>
      <c r="EY1564" s="46"/>
      <c r="EZ1564" s="46"/>
      <c r="FA1564" s="46"/>
      <c r="FB1564" s="46"/>
      <c r="FC1564" s="46"/>
      <c r="FD1564" s="46"/>
      <c r="FE1564" s="46"/>
      <c r="FF1564" s="46"/>
      <c r="FG1564" s="46"/>
      <c r="FH1564" s="46"/>
      <c r="FI1564" s="46"/>
      <c r="FJ1564" s="46"/>
      <c r="FK1564" s="46"/>
      <c r="FL1564" s="46"/>
      <c r="FM1564" s="46"/>
      <c r="FN1564" s="46"/>
      <c r="FO1564" s="46"/>
      <c r="FP1564" s="46"/>
      <c r="FQ1564" s="46"/>
      <c r="FR1564" s="46"/>
      <c r="FS1564" s="46"/>
      <c r="FT1564" s="46"/>
      <c r="FU1564" s="46"/>
      <c r="FV1564" s="46"/>
      <c r="FW1564" s="46"/>
      <c r="FX1564" s="46"/>
      <c r="FY1564" s="46"/>
      <c r="FZ1564" s="46"/>
      <c r="GA1564" s="46"/>
      <c r="GB1564" s="46"/>
      <c r="GC1564" s="46"/>
      <c r="GD1564" s="46"/>
      <c r="GE1564" s="46"/>
      <c r="GF1564" s="46"/>
      <c r="GG1564" s="46"/>
      <c r="GH1564" s="46"/>
      <c r="GI1564" s="46"/>
      <c r="GJ1564" s="46"/>
      <c r="GK1564" s="46"/>
      <c r="GL1564" s="46"/>
      <c r="GM1564" s="46"/>
      <c r="GN1564" s="46"/>
      <c r="GO1564" s="46"/>
      <c r="GP1564" s="46"/>
      <c r="GQ1564" s="46"/>
      <c r="GR1564" s="46"/>
      <c r="GS1564" s="46"/>
      <c r="GT1564" s="46"/>
      <c r="GU1564" s="46"/>
    </row>
    <row r="1565" spans="1:203" s="58" customFormat="1" ht="30" customHeight="1" collapsed="1" x14ac:dyDescent="0.4">
      <c r="A1565" s="24">
        <f>A1563+1</f>
        <v>659</v>
      </c>
      <c r="B1565" s="71" t="s">
        <v>315</v>
      </c>
      <c r="C1565" s="40" t="s">
        <v>132</v>
      </c>
      <c r="D1565" s="82">
        <v>4</v>
      </c>
      <c r="E1565" s="66"/>
      <c r="F1565" s="57"/>
    </row>
    <row r="1566" spans="1:203" s="58" customFormat="1" ht="30" hidden="1" customHeight="1" outlineLevel="1" x14ac:dyDescent="0.4">
      <c r="A1566" s="87"/>
      <c r="B1566" s="48" t="s">
        <v>314</v>
      </c>
      <c r="C1566" s="75" t="s">
        <v>14</v>
      </c>
      <c r="D1566" s="65">
        <f>4*1.26/1000</f>
        <v>5.0400000000000002E-3</v>
      </c>
      <c r="E1566" s="88">
        <v>5.0000000000000001E-3</v>
      </c>
      <c r="F1566" s="57"/>
    </row>
    <row r="1567" spans="1:203" s="43" customFormat="1" ht="31" customHeight="1" collapsed="1" x14ac:dyDescent="0.35">
      <c r="A1567" s="24">
        <f>A1565+1</f>
        <v>660</v>
      </c>
      <c r="B1567" s="25" t="s">
        <v>595</v>
      </c>
      <c r="C1567" s="89" t="s">
        <v>58</v>
      </c>
      <c r="D1567" s="26">
        <v>2</v>
      </c>
      <c r="E1567" s="41"/>
      <c r="F1567" s="42"/>
      <c r="H1567" s="44"/>
      <c r="K1567" s="45"/>
      <c r="L1567" s="45"/>
      <c r="M1567" s="45"/>
      <c r="N1567" s="44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  <c r="BP1567" s="46"/>
      <c r="BQ1567" s="46"/>
      <c r="BR1567" s="46"/>
      <c r="BS1567" s="46"/>
      <c r="BT1567" s="46"/>
      <c r="BU1567" s="46"/>
      <c r="BV1567" s="46"/>
      <c r="BW1567" s="46"/>
      <c r="BX1567" s="46"/>
      <c r="BY1567" s="46"/>
      <c r="BZ1567" s="46"/>
      <c r="CA1567" s="46"/>
      <c r="CB1567" s="46"/>
      <c r="CC1567" s="46"/>
      <c r="CD1567" s="46"/>
      <c r="CE1567" s="46"/>
      <c r="CF1567" s="46"/>
      <c r="CG1567" s="46"/>
      <c r="CH1567" s="46"/>
      <c r="CI1567" s="46"/>
      <c r="CJ1567" s="46"/>
      <c r="CK1567" s="46"/>
      <c r="CL1567" s="46"/>
      <c r="CM1567" s="46"/>
      <c r="CN1567" s="46"/>
      <c r="CO1567" s="46"/>
      <c r="CP1567" s="46"/>
      <c r="CQ1567" s="46"/>
      <c r="CR1567" s="46"/>
      <c r="CS1567" s="46"/>
      <c r="CT1567" s="46"/>
      <c r="CU1567" s="46"/>
      <c r="CV1567" s="46"/>
      <c r="CW1567" s="46"/>
      <c r="CX1567" s="46"/>
      <c r="CY1567" s="46"/>
      <c r="CZ1567" s="46"/>
      <c r="DA1567" s="46"/>
      <c r="DB1567" s="46"/>
      <c r="DC1567" s="46"/>
      <c r="DD1567" s="46"/>
      <c r="DE1567" s="46"/>
      <c r="DF1567" s="46"/>
      <c r="DG1567" s="46"/>
      <c r="DH1567" s="46"/>
      <c r="DI1567" s="46"/>
      <c r="DJ1567" s="46"/>
      <c r="DK1567" s="46"/>
      <c r="DL1567" s="46"/>
      <c r="DM1567" s="46"/>
      <c r="DN1567" s="46"/>
      <c r="DO1567" s="46"/>
      <c r="DP1567" s="46"/>
      <c r="DQ1567" s="46"/>
      <c r="DR1567" s="46"/>
      <c r="DS1567" s="46"/>
      <c r="DT1567" s="46"/>
      <c r="DU1567" s="46"/>
      <c r="DV1567" s="46"/>
      <c r="DW1567" s="46"/>
      <c r="DX1567" s="46"/>
      <c r="DY1567" s="46"/>
      <c r="DZ1567" s="46"/>
      <c r="EA1567" s="46"/>
      <c r="EB1567" s="46"/>
      <c r="EC1567" s="46"/>
      <c r="ED1567" s="46"/>
      <c r="EE1567" s="46"/>
      <c r="EF1567" s="46"/>
      <c r="EG1567" s="46"/>
      <c r="EH1567" s="46"/>
      <c r="EI1567" s="46"/>
      <c r="EJ1567" s="46"/>
      <c r="EK1567" s="46"/>
      <c r="EL1567" s="46"/>
      <c r="EM1567" s="46"/>
      <c r="EN1567" s="46"/>
      <c r="EO1567" s="46"/>
      <c r="EP1567" s="46"/>
      <c r="EQ1567" s="46"/>
      <c r="ER1567" s="46"/>
      <c r="ES1567" s="46"/>
      <c r="ET1567" s="46"/>
      <c r="EU1567" s="46"/>
      <c r="EV1567" s="46"/>
      <c r="EW1567" s="46"/>
      <c r="EX1567" s="46"/>
      <c r="EY1567" s="46"/>
      <c r="EZ1567" s="46"/>
      <c r="FA1567" s="46"/>
      <c r="FB1567" s="46"/>
      <c r="FC1567" s="46"/>
      <c r="FD1567" s="46"/>
      <c r="FE1567" s="46"/>
      <c r="FF1567" s="46"/>
      <c r="FG1567" s="46"/>
      <c r="FH1567" s="46"/>
      <c r="FI1567" s="46"/>
      <c r="FJ1567" s="46"/>
      <c r="FK1567" s="46"/>
      <c r="FL1567" s="46"/>
      <c r="FM1567" s="46"/>
      <c r="FN1567" s="46"/>
      <c r="FO1567" s="46"/>
      <c r="FP1567" s="46"/>
      <c r="FQ1567" s="46"/>
      <c r="FR1567" s="46"/>
      <c r="FS1567" s="46"/>
      <c r="FT1567" s="46"/>
      <c r="FU1567" s="46"/>
      <c r="FV1567" s="46"/>
      <c r="FW1567" s="46"/>
      <c r="FX1567" s="46"/>
      <c r="FY1567" s="46"/>
      <c r="FZ1567" s="46"/>
      <c r="GA1567" s="46"/>
      <c r="GB1567" s="46"/>
      <c r="GC1567" s="46"/>
      <c r="GD1567" s="46"/>
      <c r="GE1567" s="46"/>
      <c r="GF1567" s="46"/>
      <c r="GG1567" s="46"/>
      <c r="GH1567" s="46"/>
      <c r="GI1567" s="46"/>
      <c r="GJ1567" s="46"/>
      <c r="GK1567" s="46"/>
      <c r="GL1567" s="46"/>
      <c r="GM1567" s="46"/>
      <c r="GN1567" s="46"/>
      <c r="GO1567" s="46"/>
      <c r="GP1567" s="46"/>
      <c r="GQ1567" s="46"/>
      <c r="GR1567" s="46"/>
      <c r="GS1567" s="46"/>
      <c r="GT1567" s="46"/>
      <c r="GU1567" s="46"/>
    </row>
    <row r="1568" spans="1:203" s="43" customFormat="1" ht="30" hidden="1" customHeight="1" outlineLevel="1" x14ac:dyDescent="0.35">
      <c r="A1568" s="47"/>
      <c r="B1568" s="48" t="s">
        <v>596</v>
      </c>
      <c r="C1568" s="49" t="s">
        <v>58</v>
      </c>
      <c r="D1568" s="49">
        <v>1</v>
      </c>
      <c r="E1568" s="78"/>
      <c r="F1568" s="42"/>
      <c r="H1568" s="44"/>
      <c r="K1568" s="45"/>
      <c r="L1568" s="45"/>
      <c r="M1568" s="45"/>
      <c r="N1568" s="44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  <c r="BP1568" s="46"/>
      <c r="BQ1568" s="46"/>
      <c r="BR1568" s="46"/>
      <c r="BS1568" s="46"/>
      <c r="BT1568" s="46"/>
      <c r="BU1568" s="46"/>
      <c r="BV1568" s="46"/>
      <c r="BW1568" s="46"/>
      <c r="BX1568" s="46"/>
      <c r="BY1568" s="46"/>
      <c r="BZ1568" s="46"/>
      <c r="CA1568" s="46"/>
      <c r="CB1568" s="46"/>
      <c r="CC1568" s="46"/>
      <c r="CD1568" s="46"/>
      <c r="CE1568" s="46"/>
      <c r="CF1568" s="46"/>
      <c r="CG1568" s="46"/>
      <c r="CH1568" s="46"/>
      <c r="CI1568" s="46"/>
      <c r="CJ1568" s="46"/>
      <c r="CK1568" s="46"/>
      <c r="CL1568" s="46"/>
      <c r="CM1568" s="46"/>
      <c r="CN1568" s="46"/>
      <c r="CO1568" s="46"/>
      <c r="CP1568" s="46"/>
      <c r="CQ1568" s="46"/>
      <c r="CR1568" s="46"/>
      <c r="CS1568" s="46"/>
      <c r="CT1568" s="46"/>
      <c r="CU1568" s="46"/>
      <c r="CV1568" s="46"/>
      <c r="CW1568" s="46"/>
      <c r="CX1568" s="46"/>
      <c r="CY1568" s="46"/>
      <c r="CZ1568" s="46"/>
      <c r="DA1568" s="46"/>
      <c r="DB1568" s="46"/>
      <c r="DC1568" s="46"/>
      <c r="DD1568" s="46"/>
      <c r="DE1568" s="46"/>
      <c r="DF1568" s="46"/>
      <c r="DG1568" s="46"/>
      <c r="DH1568" s="46"/>
      <c r="DI1568" s="46"/>
      <c r="DJ1568" s="46"/>
      <c r="DK1568" s="46"/>
      <c r="DL1568" s="46"/>
      <c r="DM1568" s="46"/>
      <c r="DN1568" s="46"/>
      <c r="DO1568" s="46"/>
      <c r="DP1568" s="46"/>
      <c r="DQ1568" s="46"/>
      <c r="DR1568" s="46"/>
      <c r="DS1568" s="46"/>
      <c r="DT1568" s="46"/>
      <c r="DU1568" s="46"/>
      <c r="DV1568" s="46"/>
      <c r="DW1568" s="46"/>
      <c r="DX1568" s="46"/>
      <c r="DY1568" s="46"/>
      <c r="DZ1568" s="46"/>
      <c r="EA1568" s="46"/>
      <c r="EB1568" s="46"/>
      <c r="EC1568" s="46"/>
      <c r="ED1568" s="46"/>
      <c r="EE1568" s="46"/>
      <c r="EF1568" s="46"/>
      <c r="EG1568" s="46"/>
      <c r="EH1568" s="46"/>
      <c r="EI1568" s="46"/>
      <c r="EJ1568" s="46"/>
      <c r="EK1568" s="46"/>
      <c r="EL1568" s="46"/>
      <c r="EM1568" s="46"/>
      <c r="EN1568" s="46"/>
      <c r="EO1568" s="46"/>
      <c r="EP1568" s="46"/>
      <c r="EQ1568" s="46"/>
      <c r="ER1568" s="46"/>
      <c r="ES1568" s="46"/>
      <c r="ET1568" s="46"/>
      <c r="EU1568" s="46"/>
      <c r="EV1568" s="46"/>
      <c r="EW1568" s="46"/>
      <c r="EX1568" s="46"/>
      <c r="EY1568" s="46"/>
      <c r="EZ1568" s="46"/>
      <c r="FA1568" s="46"/>
      <c r="FB1568" s="46"/>
      <c r="FC1568" s="46"/>
      <c r="FD1568" s="46"/>
      <c r="FE1568" s="46"/>
      <c r="FF1568" s="46"/>
      <c r="FG1568" s="46"/>
      <c r="FH1568" s="46"/>
      <c r="FI1568" s="46"/>
      <c r="FJ1568" s="46"/>
      <c r="FK1568" s="46"/>
      <c r="FL1568" s="46"/>
      <c r="FM1568" s="46"/>
      <c r="FN1568" s="46"/>
      <c r="FO1568" s="46"/>
      <c r="FP1568" s="46"/>
      <c r="FQ1568" s="46"/>
      <c r="FR1568" s="46"/>
      <c r="FS1568" s="46"/>
      <c r="FT1568" s="46"/>
      <c r="FU1568" s="46"/>
      <c r="FV1568" s="46"/>
      <c r="FW1568" s="46"/>
      <c r="FX1568" s="46"/>
      <c r="FY1568" s="46"/>
      <c r="FZ1568" s="46"/>
      <c r="GA1568" s="46"/>
      <c r="GB1568" s="46"/>
      <c r="GC1568" s="46"/>
      <c r="GD1568" s="46"/>
      <c r="GE1568" s="46"/>
      <c r="GF1568" s="46"/>
      <c r="GG1568" s="46"/>
      <c r="GH1568" s="46"/>
      <c r="GI1568" s="46"/>
      <c r="GJ1568" s="46"/>
      <c r="GK1568" s="46"/>
      <c r="GL1568" s="46"/>
      <c r="GM1568" s="46"/>
      <c r="GN1568" s="46"/>
      <c r="GO1568" s="46"/>
      <c r="GP1568" s="46"/>
      <c r="GQ1568" s="46"/>
      <c r="GR1568" s="46"/>
      <c r="GS1568" s="46"/>
      <c r="GT1568" s="46"/>
      <c r="GU1568" s="46"/>
    </row>
    <row r="1569" spans="1:203" s="43" customFormat="1" ht="30" hidden="1" customHeight="1" outlineLevel="1" x14ac:dyDescent="0.35">
      <c r="A1569" s="47"/>
      <c r="B1569" s="48" t="s">
        <v>597</v>
      </c>
      <c r="C1569" s="49" t="s">
        <v>58</v>
      </c>
      <c r="D1569" s="49">
        <v>1</v>
      </c>
      <c r="E1569" s="78"/>
      <c r="F1569" s="42"/>
      <c r="H1569" s="44"/>
      <c r="K1569" s="45"/>
      <c r="L1569" s="45"/>
      <c r="M1569" s="45"/>
      <c r="N1569" s="44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  <c r="BP1569" s="46"/>
      <c r="BQ1569" s="46"/>
      <c r="BR1569" s="46"/>
      <c r="BS1569" s="46"/>
      <c r="BT1569" s="46"/>
      <c r="BU1569" s="46"/>
      <c r="BV1569" s="46"/>
      <c r="BW1569" s="46"/>
      <c r="BX1569" s="46"/>
      <c r="BY1569" s="46"/>
      <c r="BZ1569" s="46"/>
      <c r="CA1569" s="46"/>
      <c r="CB1569" s="46"/>
      <c r="CC1569" s="46"/>
      <c r="CD1569" s="46"/>
      <c r="CE1569" s="46"/>
      <c r="CF1569" s="46"/>
      <c r="CG1569" s="46"/>
      <c r="CH1569" s="46"/>
      <c r="CI1569" s="46"/>
      <c r="CJ1569" s="46"/>
      <c r="CK1569" s="46"/>
      <c r="CL1569" s="46"/>
      <c r="CM1569" s="46"/>
      <c r="CN1569" s="46"/>
      <c r="CO1569" s="46"/>
      <c r="CP1569" s="46"/>
      <c r="CQ1569" s="46"/>
      <c r="CR1569" s="46"/>
      <c r="CS1569" s="46"/>
      <c r="CT1569" s="46"/>
      <c r="CU1569" s="46"/>
      <c r="CV1569" s="46"/>
      <c r="CW1569" s="46"/>
      <c r="CX1569" s="46"/>
      <c r="CY1569" s="46"/>
      <c r="CZ1569" s="46"/>
      <c r="DA1569" s="46"/>
      <c r="DB1569" s="46"/>
      <c r="DC1569" s="46"/>
      <c r="DD1569" s="46"/>
      <c r="DE1569" s="46"/>
      <c r="DF1569" s="46"/>
      <c r="DG1569" s="46"/>
      <c r="DH1569" s="46"/>
      <c r="DI1569" s="46"/>
      <c r="DJ1569" s="46"/>
      <c r="DK1569" s="46"/>
      <c r="DL1569" s="46"/>
      <c r="DM1569" s="46"/>
      <c r="DN1569" s="46"/>
      <c r="DO1569" s="46"/>
      <c r="DP1569" s="46"/>
      <c r="DQ1569" s="46"/>
      <c r="DR1569" s="46"/>
      <c r="DS1569" s="46"/>
      <c r="DT1569" s="46"/>
      <c r="DU1569" s="46"/>
      <c r="DV1569" s="46"/>
      <c r="DW1569" s="46"/>
      <c r="DX1569" s="46"/>
      <c r="DY1569" s="46"/>
      <c r="DZ1569" s="46"/>
      <c r="EA1569" s="46"/>
      <c r="EB1569" s="46"/>
      <c r="EC1569" s="46"/>
      <c r="ED1569" s="46"/>
      <c r="EE1569" s="46"/>
      <c r="EF1569" s="46"/>
      <c r="EG1569" s="46"/>
      <c r="EH1569" s="46"/>
      <c r="EI1569" s="46"/>
      <c r="EJ1569" s="46"/>
      <c r="EK1569" s="46"/>
      <c r="EL1569" s="46"/>
      <c r="EM1569" s="46"/>
      <c r="EN1569" s="46"/>
      <c r="EO1569" s="46"/>
      <c r="EP1569" s="46"/>
      <c r="EQ1569" s="46"/>
      <c r="ER1569" s="46"/>
      <c r="ES1569" s="46"/>
      <c r="ET1569" s="46"/>
      <c r="EU1569" s="46"/>
      <c r="EV1569" s="46"/>
      <c r="EW1569" s="46"/>
      <c r="EX1569" s="46"/>
      <c r="EY1569" s="46"/>
      <c r="EZ1569" s="46"/>
      <c r="FA1569" s="46"/>
      <c r="FB1569" s="46"/>
      <c r="FC1569" s="46"/>
      <c r="FD1569" s="46"/>
      <c r="FE1569" s="46"/>
      <c r="FF1569" s="46"/>
      <c r="FG1569" s="46"/>
      <c r="FH1569" s="46"/>
      <c r="FI1569" s="46"/>
      <c r="FJ1569" s="46"/>
      <c r="FK1569" s="46"/>
      <c r="FL1569" s="46"/>
      <c r="FM1569" s="46"/>
      <c r="FN1569" s="46"/>
      <c r="FO1569" s="46"/>
      <c r="FP1569" s="46"/>
      <c r="FQ1569" s="46"/>
      <c r="FR1569" s="46"/>
      <c r="FS1569" s="46"/>
      <c r="FT1569" s="46"/>
      <c r="FU1569" s="46"/>
      <c r="FV1569" s="46"/>
      <c r="FW1569" s="46"/>
      <c r="FX1569" s="46"/>
      <c r="FY1569" s="46"/>
      <c r="FZ1569" s="46"/>
      <c r="GA1569" s="46"/>
      <c r="GB1569" s="46"/>
      <c r="GC1569" s="46"/>
      <c r="GD1569" s="46"/>
      <c r="GE1569" s="46"/>
      <c r="GF1569" s="46"/>
      <c r="GG1569" s="46"/>
      <c r="GH1569" s="46"/>
      <c r="GI1569" s="46"/>
      <c r="GJ1569" s="46"/>
      <c r="GK1569" s="46"/>
      <c r="GL1569" s="46"/>
      <c r="GM1569" s="46"/>
      <c r="GN1569" s="46"/>
      <c r="GO1569" s="46"/>
      <c r="GP1569" s="46"/>
      <c r="GQ1569" s="46"/>
      <c r="GR1569" s="46"/>
      <c r="GS1569" s="46"/>
      <c r="GT1569" s="46"/>
      <c r="GU1569" s="46"/>
    </row>
    <row r="1570" spans="1:203" s="39" customFormat="1" ht="21" customHeight="1" collapsed="1" x14ac:dyDescent="0.35">
      <c r="A1570" s="158" t="s">
        <v>711</v>
      </c>
      <c r="B1570" s="158"/>
      <c r="C1570" s="158"/>
      <c r="D1570" s="158"/>
      <c r="E1570" s="158"/>
      <c r="F1570" s="34"/>
      <c r="G1570" s="35"/>
      <c r="H1570" s="36"/>
      <c r="I1570" s="37"/>
      <c r="J1570" s="37"/>
      <c r="K1570" s="38"/>
      <c r="L1570" s="38"/>
      <c r="M1570" s="38"/>
      <c r="N1570" s="36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</row>
    <row r="1571" spans="1:203" s="58" customFormat="1" ht="46.3" x14ac:dyDescent="0.4">
      <c r="A1571" s="24">
        <f>A1567+1</f>
        <v>661</v>
      </c>
      <c r="B1571" s="59" t="s">
        <v>364</v>
      </c>
      <c r="C1571" s="70" t="s">
        <v>19</v>
      </c>
      <c r="D1571" s="67">
        <v>1.0992999999999999</v>
      </c>
      <c r="E1571" s="66"/>
      <c r="F1571" s="57"/>
    </row>
    <row r="1572" spans="1:203" s="58" customFormat="1" ht="30.9" hidden="1" outlineLevel="1" x14ac:dyDescent="0.4">
      <c r="A1572" s="54"/>
      <c r="B1572" s="48" t="s">
        <v>365</v>
      </c>
      <c r="C1572" s="49" t="s">
        <v>19</v>
      </c>
      <c r="D1572" s="68">
        <v>1.0992999999999999</v>
      </c>
      <c r="E1572" s="69">
        <v>1E-3</v>
      </c>
      <c r="F1572" s="57"/>
      <c r="J1572" s="58">
        <v>1.08</v>
      </c>
    </row>
    <row r="1573" spans="1:203" s="58" customFormat="1" ht="30" customHeight="1" collapsed="1" x14ac:dyDescent="0.4">
      <c r="A1573" s="24">
        <f>A1571+1</f>
        <v>662</v>
      </c>
      <c r="B1573" s="59" t="s">
        <v>366</v>
      </c>
      <c r="C1573" s="70" t="s">
        <v>29</v>
      </c>
      <c r="D1573" s="67">
        <v>20.64</v>
      </c>
      <c r="E1573" s="66"/>
      <c r="F1573" s="57"/>
    </row>
    <row r="1574" spans="1:203" s="58" customFormat="1" ht="30" hidden="1" customHeight="1" outlineLevel="1" x14ac:dyDescent="0.4">
      <c r="A1574" s="54"/>
      <c r="B1574" s="48" t="s">
        <v>367</v>
      </c>
      <c r="C1574" s="49" t="s">
        <v>29</v>
      </c>
      <c r="D1574" s="68">
        <v>20.64</v>
      </c>
      <c r="E1574" s="69"/>
      <c r="F1574" s="57"/>
      <c r="J1574" s="58">
        <v>1.22</v>
      </c>
    </row>
    <row r="1575" spans="1:203" s="39" customFormat="1" ht="30" customHeight="1" collapsed="1" x14ac:dyDescent="0.35">
      <c r="A1575" s="153" t="s">
        <v>712</v>
      </c>
      <c r="B1575" s="153"/>
      <c r="C1575" s="153"/>
      <c r="D1575" s="153"/>
      <c r="E1575" s="153"/>
      <c r="F1575" s="34"/>
      <c r="G1575" s="35"/>
      <c r="H1575" s="36"/>
      <c r="I1575" s="37"/>
      <c r="J1575" s="37"/>
      <c r="K1575" s="38"/>
      <c r="L1575" s="38"/>
      <c r="M1575" s="38"/>
      <c r="N1575" s="36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</row>
    <row r="1576" spans="1:203" s="39" customFormat="1" ht="21" customHeight="1" x14ac:dyDescent="0.35">
      <c r="A1576" s="158" t="s">
        <v>713</v>
      </c>
      <c r="B1576" s="158"/>
      <c r="C1576" s="158"/>
      <c r="D1576" s="158"/>
      <c r="E1576" s="158"/>
      <c r="F1576" s="34"/>
      <c r="G1576" s="35"/>
      <c r="H1576" s="36"/>
      <c r="I1576" s="37"/>
      <c r="J1576" s="37"/>
      <c r="K1576" s="38"/>
      <c r="L1576" s="38"/>
      <c r="M1576" s="38"/>
      <c r="N1576" s="36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</row>
    <row r="1577" spans="1:203" ht="30" customHeight="1" x14ac:dyDescent="0.35">
      <c r="A1577" s="24">
        <f>A1573+1</f>
        <v>663</v>
      </c>
      <c r="B1577" s="25" t="s">
        <v>131</v>
      </c>
      <c r="C1577" s="26" t="s">
        <v>132</v>
      </c>
      <c r="D1577" s="73">
        <v>31</v>
      </c>
      <c r="E1577" s="41"/>
      <c r="F1577" s="42"/>
    </row>
    <row r="1578" spans="1:203" ht="31" hidden="1" customHeight="1" outlineLevel="1" x14ac:dyDescent="0.35">
      <c r="A1578" s="47"/>
      <c r="B1578" s="48" t="s">
        <v>133</v>
      </c>
      <c r="C1578" s="49" t="s">
        <v>58</v>
      </c>
      <c r="D1578" s="55">
        <v>31</v>
      </c>
      <c r="E1578" s="56">
        <v>3.1</v>
      </c>
      <c r="F1578" s="42"/>
    </row>
    <row r="1579" spans="1:203" ht="31" hidden="1" customHeight="1" outlineLevel="1" x14ac:dyDescent="0.35">
      <c r="A1579" s="74"/>
      <c r="B1579" s="48" t="s">
        <v>134</v>
      </c>
      <c r="C1579" s="49" t="s">
        <v>19</v>
      </c>
      <c r="D1579" s="81">
        <f>1.98*1.02</f>
        <v>2.0196000000000001</v>
      </c>
      <c r="E1579" s="69"/>
      <c r="F1579" s="42"/>
    </row>
    <row r="1580" spans="1:203" ht="30" customHeight="1" collapsed="1" x14ac:dyDescent="0.35">
      <c r="A1580" s="24">
        <f>A1577+1</f>
        <v>664</v>
      </c>
      <c r="B1580" s="25" t="s">
        <v>135</v>
      </c>
      <c r="C1580" s="26" t="s">
        <v>19</v>
      </c>
      <c r="D1580" s="40">
        <v>15.58</v>
      </c>
      <c r="E1580" s="41"/>
      <c r="F1580" s="42"/>
    </row>
    <row r="1581" spans="1:203" ht="31" hidden="1" customHeight="1" outlineLevel="1" x14ac:dyDescent="0.35">
      <c r="A1581" s="47"/>
      <c r="B1581" s="48" t="s">
        <v>52</v>
      </c>
      <c r="C1581" s="49" t="s">
        <v>19</v>
      </c>
      <c r="D1581" s="50">
        <f>15.58</f>
        <v>15.58</v>
      </c>
      <c r="E1581" s="51"/>
      <c r="F1581" s="42"/>
    </row>
    <row r="1582" spans="1:203" s="58" customFormat="1" ht="30" customHeight="1" collapsed="1" x14ac:dyDescent="0.4">
      <c r="A1582" s="24">
        <f>A1580+1</f>
        <v>665</v>
      </c>
      <c r="B1582" s="83" t="s">
        <v>389</v>
      </c>
      <c r="C1582" s="84" t="s">
        <v>19</v>
      </c>
      <c r="D1582" s="85">
        <v>6.65</v>
      </c>
      <c r="E1582" s="66"/>
      <c r="F1582" s="57"/>
    </row>
    <row r="1583" spans="1:203" s="58" customFormat="1" ht="30" hidden="1" customHeight="1" outlineLevel="1" x14ac:dyDescent="0.4">
      <c r="A1583" s="54"/>
      <c r="B1583" s="48" t="s">
        <v>461</v>
      </c>
      <c r="C1583" s="49" t="s">
        <v>14</v>
      </c>
      <c r="D1583" s="65">
        <f>2*70.28/1000</f>
        <v>0.14055999999999999</v>
      </c>
      <c r="E1583" s="51">
        <v>0.14099999999999999</v>
      </c>
      <c r="F1583" s="57"/>
    </row>
    <row r="1584" spans="1:203" ht="31" hidden="1" customHeight="1" outlineLevel="1" x14ac:dyDescent="0.35">
      <c r="A1584" s="74"/>
      <c r="B1584" s="48" t="s">
        <v>65</v>
      </c>
      <c r="C1584" s="49" t="s">
        <v>19</v>
      </c>
      <c r="D1584" s="68">
        <f>6.65</f>
        <v>6.65</v>
      </c>
      <c r="E1584" s="69"/>
      <c r="F1584" s="42"/>
    </row>
    <row r="1585" spans="1:28" s="39" customFormat="1" ht="21" customHeight="1" collapsed="1" x14ac:dyDescent="0.35">
      <c r="A1585" s="154" t="s">
        <v>714</v>
      </c>
      <c r="B1585" s="154"/>
      <c r="C1585" s="154"/>
      <c r="D1585" s="154"/>
      <c r="E1585" s="154"/>
      <c r="F1585" s="34"/>
      <c r="G1585" s="35"/>
      <c r="H1585" s="36"/>
      <c r="I1585" s="37"/>
      <c r="J1585" s="37"/>
      <c r="K1585" s="38"/>
      <c r="L1585" s="38"/>
      <c r="M1585" s="38"/>
      <c r="N1585" s="36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</row>
    <row r="1586" spans="1:28" s="39" customFormat="1" ht="36" customHeight="1" x14ac:dyDescent="0.35">
      <c r="A1586" s="24">
        <f>A1582+1</f>
        <v>666</v>
      </c>
      <c r="B1586" s="25" t="s">
        <v>119</v>
      </c>
      <c r="C1586" s="26" t="s">
        <v>67</v>
      </c>
      <c r="D1586" s="106" t="s">
        <v>715</v>
      </c>
      <c r="E1586" s="64"/>
      <c r="F1586" s="34"/>
      <c r="G1586" s="35"/>
      <c r="H1586" s="36"/>
      <c r="I1586" s="37"/>
      <c r="J1586" s="37"/>
      <c r="K1586" s="38"/>
      <c r="L1586" s="38"/>
      <c r="M1586" s="38"/>
      <c r="N1586" s="36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</row>
    <row r="1587" spans="1:28" s="58" customFormat="1" ht="30" hidden="1" customHeight="1" outlineLevel="1" x14ac:dyDescent="0.4">
      <c r="A1587" s="54"/>
      <c r="B1587" s="48" t="s">
        <v>471</v>
      </c>
      <c r="C1587" s="49" t="s">
        <v>14</v>
      </c>
      <c r="D1587" s="65">
        <f>3.72*8.38/1000</f>
        <v>3.1173600000000003E-2</v>
      </c>
      <c r="E1587" s="51"/>
      <c r="F1587" s="57"/>
    </row>
    <row r="1588" spans="1:28" s="58" customFormat="1" ht="30" hidden="1" customHeight="1" outlineLevel="1" x14ac:dyDescent="0.4">
      <c r="A1588" s="54"/>
      <c r="B1588" s="48" t="s">
        <v>185</v>
      </c>
      <c r="C1588" s="49" t="s">
        <v>14</v>
      </c>
      <c r="D1588" s="65">
        <f>(2.52+2)*9/1000</f>
        <v>4.0679999999999994E-2</v>
      </c>
      <c r="E1588" s="51"/>
      <c r="F1588" s="57"/>
    </row>
    <row r="1589" spans="1:28" s="58" customFormat="1" ht="30" customHeight="1" collapsed="1" x14ac:dyDescent="0.4">
      <c r="A1589" s="24">
        <f>A1586+1</f>
        <v>667</v>
      </c>
      <c r="B1589" s="59" t="s">
        <v>472</v>
      </c>
      <c r="C1589" s="26" t="s">
        <v>67</v>
      </c>
      <c r="D1589" s="85" t="s">
        <v>716</v>
      </c>
      <c r="E1589" s="66"/>
      <c r="F1589" s="57"/>
    </row>
    <row r="1590" spans="1:28" s="58" customFormat="1" ht="30" hidden="1" customHeight="1" outlineLevel="1" x14ac:dyDescent="0.4">
      <c r="A1590" s="54"/>
      <c r="B1590" s="48" t="s">
        <v>474</v>
      </c>
      <c r="C1590" s="49" t="s">
        <v>58</v>
      </c>
      <c r="D1590" s="55">
        <v>9</v>
      </c>
      <c r="E1590" s="51">
        <v>4.1000000000000002E-2</v>
      </c>
      <c r="F1590" s="57"/>
    </row>
    <row r="1591" spans="1:28" ht="36" customHeight="1" collapsed="1" x14ac:dyDescent="0.35">
      <c r="A1591" s="24">
        <f>A1589+1</f>
        <v>668</v>
      </c>
      <c r="B1591" s="59" t="s">
        <v>72</v>
      </c>
      <c r="C1591" s="26" t="s">
        <v>29</v>
      </c>
      <c r="D1591" s="67">
        <f>((0.089*3.14*3.72)+(0.2*0.2*2*9)+(0.08*0.1*2*9))</f>
        <v>1.9035912000000001</v>
      </c>
      <c r="E1591" s="41"/>
      <c r="F1591" s="42"/>
    </row>
    <row r="1592" spans="1:28" s="58" customFormat="1" ht="30" hidden="1" customHeight="1" outlineLevel="1" x14ac:dyDescent="0.4">
      <c r="A1592" s="54"/>
      <c r="B1592" s="48" t="s">
        <v>73</v>
      </c>
      <c r="C1592" s="49" t="s">
        <v>74</v>
      </c>
      <c r="D1592" s="68">
        <f>3.31*D1591</f>
        <v>6.3008868720000004</v>
      </c>
      <c r="E1592" s="69">
        <v>6.0000000000000001E-3</v>
      </c>
      <c r="F1592" s="57"/>
    </row>
    <row r="1593" spans="1:28" ht="36" customHeight="1" collapsed="1" x14ac:dyDescent="0.35">
      <c r="A1593" s="24">
        <f>A1591+1</f>
        <v>669</v>
      </c>
      <c r="B1593" s="59" t="s">
        <v>75</v>
      </c>
      <c r="C1593" s="26" t="s">
        <v>29</v>
      </c>
      <c r="D1593" s="67">
        <f>((0.089*3.14*3.72)+(0.2*0.2*2*9)+(0.08*0.1*2*9))</f>
        <v>1.9035912000000001</v>
      </c>
      <c r="E1593" s="41"/>
      <c r="F1593" s="42"/>
    </row>
    <row r="1594" spans="1:28" ht="36" customHeight="1" x14ac:dyDescent="0.35">
      <c r="A1594" s="24">
        <f>A1593+1</f>
        <v>670</v>
      </c>
      <c r="B1594" s="59" t="s">
        <v>76</v>
      </c>
      <c r="C1594" s="26" t="s">
        <v>29</v>
      </c>
      <c r="D1594" s="67">
        <f>((0.089*3.14*3.72)+(0.2*0.2*2*9)+(0.08*0.1*2*9))</f>
        <v>1.9035912000000001</v>
      </c>
      <c r="E1594" s="41"/>
      <c r="F1594" s="42"/>
    </row>
    <row r="1595" spans="1:28" s="58" customFormat="1" ht="30" customHeight="1" x14ac:dyDescent="0.4">
      <c r="A1595" s="24">
        <f>A1594+1</f>
        <v>671</v>
      </c>
      <c r="B1595" s="59" t="s">
        <v>77</v>
      </c>
      <c r="C1595" s="70" t="s">
        <v>29</v>
      </c>
      <c r="D1595" s="67">
        <f>((0.089*3.14*3.72)+(0.2*0.2*2*9)+(0.08*0.1*2*9))</f>
        <v>1.9035912000000001</v>
      </c>
      <c r="E1595" s="66"/>
      <c r="F1595" s="57"/>
    </row>
    <row r="1596" spans="1:28" s="58" customFormat="1" ht="30" hidden="1" customHeight="1" outlineLevel="1" x14ac:dyDescent="0.4">
      <c r="A1596" s="54"/>
      <c r="B1596" s="48" t="s">
        <v>78</v>
      </c>
      <c r="C1596" s="49" t="s">
        <v>74</v>
      </c>
      <c r="D1596" s="68">
        <f>D1595*0.255</f>
        <v>0.48541575600000003</v>
      </c>
      <c r="E1596" s="69">
        <v>1E-3</v>
      </c>
      <c r="F1596" s="57"/>
    </row>
    <row r="1597" spans="1:28" s="58" customFormat="1" ht="30" customHeight="1" collapsed="1" x14ac:dyDescent="0.4">
      <c r="A1597" s="24">
        <f>A1595+1</f>
        <v>672</v>
      </c>
      <c r="B1597" s="59" t="s">
        <v>79</v>
      </c>
      <c r="C1597" s="70" t="s">
        <v>29</v>
      </c>
      <c r="D1597" s="67">
        <f>((0.089*3.14*3.72)+(0.2*0.2*2*9)+(0.08*0.1*2*9))</f>
        <v>1.9035912000000001</v>
      </c>
      <c r="E1597" s="66"/>
      <c r="F1597" s="57"/>
    </row>
    <row r="1598" spans="1:28" s="58" customFormat="1" ht="30" hidden="1" customHeight="1" outlineLevel="1" x14ac:dyDescent="0.4">
      <c r="A1598" s="54"/>
      <c r="B1598" s="48" t="s">
        <v>80</v>
      </c>
      <c r="C1598" s="49" t="s">
        <v>74</v>
      </c>
      <c r="D1598" s="68">
        <f>D1597*0.36*2</f>
        <v>1.370585664</v>
      </c>
      <c r="E1598" s="69">
        <v>1E-3</v>
      </c>
      <c r="F1598" s="57"/>
    </row>
    <row r="1599" spans="1:28" s="39" customFormat="1" ht="21" customHeight="1" collapsed="1" x14ac:dyDescent="0.35">
      <c r="A1599" s="154" t="s">
        <v>717</v>
      </c>
      <c r="B1599" s="154"/>
      <c r="C1599" s="154"/>
      <c r="D1599" s="154"/>
      <c r="E1599" s="154"/>
      <c r="F1599" s="34"/>
      <c r="G1599" s="35"/>
      <c r="H1599" s="36"/>
      <c r="I1599" s="37"/>
      <c r="J1599" s="37"/>
      <c r="K1599" s="38"/>
      <c r="L1599" s="38"/>
      <c r="M1599" s="38"/>
      <c r="N1599" s="36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</row>
    <row r="1600" spans="1:28" s="58" customFormat="1" ht="30" customHeight="1" x14ac:dyDescent="0.4">
      <c r="A1600" s="72">
        <f>A1597+1</f>
        <v>673</v>
      </c>
      <c r="B1600" s="59" t="s">
        <v>472</v>
      </c>
      <c r="C1600" s="26" t="s">
        <v>67</v>
      </c>
      <c r="D1600" s="85" t="s">
        <v>718</v>
      </c>
      <c r="E1600" s="66"/>
      <c r="F1600" s="57"/>
    </row>
    <row r="1601" spans="1:28" s="58" customFormat="1" ht="30" hidden="1" customHeight="1" outlineLevel="1" x14ac:dyDescent="0.4">
      <c r="A1601" s="54"/>
      <c r="B1601" s="48" t="s">
        <v>474</v>
      </c>
      <c r="C1601" s="49" t="s">
        <v>58</v>
      </c>
      <c r="D1601" s="55">
        <v>1</v>
      </c>
      <c r="E1601" s="51">
        <v>5.0000000000000001E-3</v>
      </c>
      <c r="F1601" s="57"/>
    </row>
    <row r="1602" spans="1:28" ht="36" customHeight="1" collapsed="1" x14ac:dyDescent="0.35">
      <c r="A1602" s="24">
        <f>A1600+1</f>
        <v>674</v>
      </c>
      <c r="B1602" s="59" t="s">
        <v>72</v>
      </c>
      <c r="C1602" s="26" t="s">
        <v>29</v>
      </c>
      <c r="D1602" s="62">
        <v>0.1</v>
      </c>
      <c r="E1602" s="41"/>
      <c r="F1602" s="42"/>
    </row>
    <row r="1603" spans="1:28" s="58" customFormat="1" ht="30" hidden="1" customHeight="1" outlineLevel="1" x14ac:dyDescent="0.4">
      <c r="A1603" s="54"/>
      <c r="B1603" s="48" t="s">
        <v>73</v>
      </c>
      <c r="C1603" s="49" t="s">
        <v>74</v>
      </c>
      <c r="D1603" s="68">
        <f>3.31*D1602</f>
        <v>0.33100000000000002</v>
      </c>
      <c r="E1603" s="69">
        <v>1E-3</v>
      </c>
      <c r="F1603" s="57"/>
    </row>
    <row r="1604" spans="1:28" ht="36" customHeight="1" collapsed="1" x14ac:dyDescent="0.35">
      <c r="A1604" s="24">
        <f>A1602+1</f>
        <v>675</v>
      </c>
      <c r="B1604" s="59" t="s">
        <v>75</v>
      </c>
      <c r="C1604" s="26" t="s">
        <v>29</v>
      </c>
      <c r="D1604" s="62">
        <v>0.1</v>
      </c>
      <c r="E1604" s="41"/>
      <c r="F1604" s="42"/>
    </row>
    <row r="1605" spans="1:28" ht="36" customHeight="1" x14ac:dyDescent="0.35">
      <c r="A1605" s="24">
        <f>A1604+1</f>
        <v>676</v>
      </c>
      <c r="B1605" s="59" t="s">
        <v>76</v>
      </c>
      <c r="C1605" s="26" t="s">
        <v>29</v>
      </c>
      <c r="D1605" s="62">
        <v>0.1</v>
      </c>
      <c r="E1605" s="41"/>
      <c r="F1605" s="42"/>
    </row>
    <row r="1606" spans="1:28" s="58" customFormat="1" ht="30" customHeight="1" x14ac:dyDescent="0.4">
      <c r="A1606" s="24">
        <f>A1605+1</f>
        <v>677</v>
      </c>
      <c r="B1606" s="59" t="s">
        <v>77</v>
      </c>
      <c r="C1606" s="70" t="s">
        <v>29</v>
      </c>
      <c r="D1606" s="62">
        <v>0.1</v>
      </c>
      <c r="E1606" s="66"/>
      <c r="F1606" s="57"/>
    </row>
    <row r="1607" spans="1:28" s="58" customFormat="1" ht="30" hidden="1" customHeight="1" outlineLevel="1" x14ac:dyDescent="0.4">
      <c r="A1607" s="54"/>
      <c r="B1607" s="48" t="s">
        <v>78</v>
      </c>
      <c r="C1607" s="49" t="s">
        <v>74</v>
      </c>
      <c r="D1607" s="68">
        <v>0.1</v>
      </c>
      <c r="E1607" s="69">
        <v>1E-3</v>
      </c>
      <c r="F1607" s="57"/>
    </row>
    <row r="1608" spans="1:28" s="58" customFormat="1" ht="30" customHeight="1" collapsed="1" x14ac:dyDescent="0.4">
      <c r="A1608" s="24">
        <f>A1606+1</f>
        <v>678</v>
      </c>
      <c r="B1608" s="59" t="s">
        <v>79</v>
      </c>
      <c r="C1608" s="70" t="s">
        <v>29</v>
      </c>
      <c r="D1608" s="62">
        <v>0.1</v>
      </c>
      <c r="E1608" s="66"/>
      <c r="F1608" s="57"/>
    </row>
    <row r="1609" spans="1:28" s="58" customFormat="1" ht="30" hidden="1" customHeight="1" outlineLevel="1" x14ac:dyDescent="0.4">
      <c r="A1609" s="54"/>
      <c r="B1609" s="48" t="s">
        <v>80</v>
      </c>
      <c r="C1609" s="49" t="s">
        <v>74</v>
      </c>
      <c r="D1609" s="68">
        <f>D1608*0.36*2</f>
        <v>7.1999999999999995E-2</v>
      </c>
      <c r="E1609" s="69"/>
      <c r="F1609" s="57"/>
    </row>
    <row r="1610" spans="1:28" s="39" customFormat="1" ht="21" customHeight="1" collapsed="1" x14ac:dyDescent="0.35">
      <c r="A1610" s="158" t="s">
        <v>719</v>
      </c>
      <c r="B1610" s="158"/>
      <c r="C1610" s="158"/>
      <c r="D1610" s="158"/>
      <c r="E1610" s="158"/>
      <c r="F1610" s="34"/>
      <c r="G1610" s="35"/>
      <c r="H1610" s="36"/>
      <c r="I1610" s="37"/>
      <c r="J1610" s="37"/>
      <c r="K1610" s="38"/>
      <c r="L1610" s="38"/>
      <c r="M1610" s="38"/>
      <c r="N1610" s="36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</row>
    <row r="1611" spans="1:28" ht="36" customHeight="1" x14ac:dyDescent="0.35">
      <c r="A1611" s="24">
        <f>A1606+1</f>
        <v>678</v>
      </c>
      <c r="B1611" s="59" t="s">
        <v>720</v>
      </c>
      <c r="C1611" s="26" t="s">
        <v>58</v>
      </c>
      <c r="D1611" s="82">
        <v>1</v>
      </c>
      <c r="E1611" s="41"/>
      <c r="F1611" s="42"/>
    </row>
    <row r="1612" spans="1:28" ht="36" customHeight="1" x14ac:dyDescent="0.35">
      <c r="A1612" s="24">
        <f>A1611+1</f>
        <v>679</v>
      </c>
      <c r="B1612" s="59" t="s">
        <v>721</v>
      </c>
      <c r="C1612" s="26" t="s">
        <v>58</v>
      </c>
      <c r="D1612" s="82">
        <v>1</v>
      </c>
      <c r="E1612" s="41"/>
      <c r="F1612" s="42"/>
    </row>
    <row r="1613" spans="1:28" s="39" customFormat="1" ht="36" customHeight="1" x14ac:dyDescent="0.35">
      <c r="A1613" s="24">
        <f>A1612+1</f>
        <v>680</v>
      </c>
      <c r="B1613" s="59" t="s">
        <v>722</v>
      </c>
      <c r="C1613" s="26" t="s">
        <v>58</v>
      </c>
      <c r="D1613" s="40">
        <v>2</v>
      </c>
      <c r="E1613" s="64"/>
      <c r="F1613" s="34"/>
      <c r="G1613" s="35"/>
      <c r="H1613" s="36"/>
      <c r="I1613" s="37"/>
      <c r="J1613" s="37"/>
      <c r="K1613" s="38"/>
      <c r="L1613" s="38"/>
      <c r="M1613" s="38"/>
      <c r="N1613" s="36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</row>
    <row r="1614" spans="1:28" ht="31" hidden="1" customHeight="1" outlineLevel="1" x14ac:dyDescent="0.35">
      <c r="A1614" s="47"/>
      <c r="B1614" s="48" t="s">
        <v>723</v>
      </c>
      <c r="C1614" s="49" t="s">
        <v>58</v>
      </c>
      <c r="D1614" s="75">
        <v>2</v>
      </c>
      <c r="E1614" s="51">
        <v>0.12</v>
      </c>
      <c r="F1614" s="42"/>
    </row>
    <row r="1615" spans="1:28" s="58" customFormat="1" ht="30.9" collapsed="1" x14ac:dyDescent="0.4">
      <c r="A1615" s="24">
        <f>A1613+1</f>
        <v>681</v>
      </c>
      <c r="B1615" s="59" t="s">
        <v>155</v>
      </c>
      <c r="C1615" s="70" t="s">
        <v>132</v>
      </c>
      <c r="D1615" s="40">
        <v>9.5</v>
      </c>
      <c r="E1615" s="79" t="s">
        <v>151</v>
      </c>
      <c r="F1615" s="57"/>
    </row>
    <row r="1616" spans="1:28" s="58" customFormat="1" ht="30.9" hidden="1" outlineLevel="1" x14ac:dyDescent="0.4">
      <c r="A1616" s="54"/>
      <c r="B1616" s="48" t="s">
        <v>645</v>
      </c>
      <c r="C1616" s="49" t="s">
        <v>14</v>
      </c>
      <c r="D1616" s="65">
        <f>9.5*15.98*1.1/1000</f>
        <v>0.166991</v>
      </c>
      <c r="E1616" s="51"/>
      <c r="F1616" s="57"/>
    </row>
    <row r="1617" spans="1:203" s="58" customFormat="1" ht="30" hidden="1" customHeight="1" outlineLevel="1" x14ac:dyDescent="0.4">
      <c r="A1617" s="54"/>
      <c r="B1617" s="48" t="s">
        <v>535</v>
      </c>
      <c r="C1617" s="49" t="s">
        <v>58</v>
      </c>
      <c r="D1617" s="55">
        <v>4</v>
      </c>
      <c r="E1617" s="51">
        <v>1.6E-2</v>
      </c>
      <c r="F1617" s="57"/>
    </row>
    <row r="1618" spans="1:203" s="58" customFormat="1" ht="30" hidden="1" customHeight="1" outlineLevel="1" x14ac:dyDescent="0.4">
      <c r="A1618" s="54"/>
      <c r="B1618" s="48" t="s">
        <v>646</v>
      </c>
      <c r="C1618" s="49" t="s">
        <v>58</v>
      </c>
      <c r="D1618" s="55">
        <v>1</v>
      </c>
      <c r="E1618" s="51">
        <v>4.0000000000000001E-3</v>
      </c>
      <c r="F1618" s="57"/>
    </row>
    <row r="1619" spans="1:203" s="58" customFormat="1" ht="30.9" collapsed="1" x14ac:dyDescent="0.4">
      <c r="A1619" s="24">
        <f>A1615+1</f>
        <v>682</v>
      </c>
      <c r="B1619" s="59" t="s">
        <v>724</v>
      </c>
      <c r="C1619" s="70" t="s">
        <v>132</v>
      </c>
      <c r="D1619" s="40">
        <v>6.9</v>
      </c>
      <c r="E1619" s="79" t="s">
        <v>151</v>
      </c>
      <c r="F1619" s="57"/>
    </row>
    <row r="1620" spans="1:203" s="58" customFormat="1" ht="30.9" hidden="1" outlineLevel="1" x14ac:dyDescent="0.4">
      <c r="A1620" s="54"/>
      <c r="B1620" s="48" t="s">
        <v>725</v>
      </c>
      <c r="C1620" s="49" t="s">
        <v>14</v>
      </c>
      <c r="D1620" s="65">
        <f>6.9*15.98*1.1/1000</f>
        <v>0.12128820000000003</v>
      </c>
      <c r="E1620" s="51"/>
      <c r="F1620" s="57"/>
    </row>
    <row r="1621" spans="1:203" s="58" customFormat="1" ht="30" hidden="1" customHeight="1" outlineLevel="1" x14ac:dyDescent="0.4">
      <c r="A1621" s="54"/>
      <c r="B1621" s="48" t="s">
        <v>726</v>
      </c>
      <c r="C1621" s="49" t="s">
        <v>58</v>
      </c>
      <c r="D1621" s="55">
        <v>1</v>
      </c>
      <c r="E1621" s="51">
        <v>6.0000000000000001E-3</v>
      </c>
      <c r="F1621" s="57"/>
    </row>
    <row r="1622" spans="1:203" s="58" customFormat="1" ht="30" hidden="1" customHeight="1" outlineLevel="1" x14ac:dyDescent="0.4">
      <c r="A1622" s="54"/>
      <c r="B1622" s="48" t="s">
        <v>727</v>
      </c>
      <c r="C1622" s="49" t="s">
        <v>58</v>
      </c>
      <c r="D1622" s="55">
        <v>1</v>
      </c>
      <c r="E1622" s="51">
        <v>7.0000000000000001E-3</v>
      </c>
      <c r="F1622" s="57"/>
    </row>
    <row r="1623" spans="1:203" s="58" customFormat="1" ht="30" customHeight="1" collapsed="1" x14ac:dyDescent="0.4">
      <c r="A1623" s="24">
        <f>A1619+1</f>
        <v>683</v>
      </c>
      <c r="B1623" s="59" t="s">
        <v>158</v>
      </c>
      <c r="C1623" s="70" t="s">
        <v>67</v>
      </c>
      <c r="D1623" s="40" t="s">
        <v>728</v>
      </c>
      <c r="E1623" s="66"/>
      <c r="F1623" s="57"/>
    </row>
    <row r="1624" spans="1:203" s="58" customFormat="1" ht="30" hidden="1" customHeight="1" outlineLevel="1" x14ac:dyDescent="0.4">
      <c r="A1624" s="54"/>
      <c r="B1624" s="48" t="s">
        <v>552</v>
      </c>
      <c r="C1624" s="49" t="s">
        <v>58</v>
      </c>
      <c r="D1624" s="55">
        <v>6</v>
      </c>
      <c r="E1624" s="51">
        <v>1.2999999999999999E-2</v>
      </c>
      <c r="F1624" s="57"/>
    </row>
    <row r="1625" spans="1:203" s="58" customFormat="1" ht="30" hidden="1" customHeight="1" outlineLevel="1" x14ac:dyDescent="0.4">
      <c r="A1625" s="54"/>
      <c r="B1625" s="48" t="s">
        <v>729</v>
      </c>
      <c r="C1625" s="49" t="s">
        <v>58</v>
      </c>
      <c r="D1625" s="55">
        <v>2</v>
      </c>
      <c r="E1625" s="51">
        <v>1E-3</v>
      </c>
      <c r="F1625" s="57"/>
    </row>
    <row r="1626" spans="1:203" s="43" customFormat="1" ht="36" customHeight="1" collapsed="1" x14ac:dyDescent="0.35">
      <c r="A1626" s="24">
        <f>A1623+1</f>
        <v>684</v>
      </c>
      <c r="B1626" s="59" t="s">
        <v>72</v>
      </c>
      <c r="C1626" s="26" t="s">
        <v>29</v>
      </c>
      <c r="D1626" s="104">
        <v>5.87</v>
      </c>
      <c r="E1626" s="41"/>
      <c r="F1626" s="42"/>
      <c r="H1626" s="44"/>
      <c r="K1626" s="45"/>
      <c r="L1626" s="45"/>
      <c r="M1626" s="45"/>
      <c r="N1626" s="44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6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  <c r="BP1626" s="46"/>
      <c r="BQ1626" s="46"/>
      <c r="BR1626" s="46"/>
      <c r="BS1626" s="46"/>
      <c r="BT1626" s="46"/>
      <c r="BU1626" s="46"/>
      <c r="BV1626" s="46"/>
      <c r="BW1626" s="46"/>
      <c r="BX1626" s="46"/>
      <c r="BY1626" s="46"/>
      <c r="BZ1626" s="46"/>
      <c r="CA1626" s="46"/>
      <c r="CB1626" s="46"/>
      <c r="CC1626" s="46"/>
      <c r="CD1626" s="46"/>
      <c r="CE1626" s="46"/>
      <c r="CF1626" s="46"/>
      <c r="CG1626" s="46"/>
      <c r="CH1626" s="46"/>
      <c r="CI1626" s="46"/>
      <c r="CJ1626" s="46"/>
      <c r="CK1626" s="46"/>
      <c r="CL1626" s="46"/>
      <c r="CM1626" s="46"/>
      <c r="CN1626" s="46"/>
      <c r="CO1626" s="46"/>
      <c r="CP1626" s="46"/>
      <c r="CQ1626" s="46"/>
      <c r="CR1626" s="46"/>
      <c r="CS1626" s="46"/>
      <c r="CT1626" s="46"/>
      <c r="CU1626" s="46"/>
      <c r="CV1626" s="46"/>
      <c r="CW1626" s="46"/>
      <c r="CX1626" s="46"/>
      <c r="CY1626" s="46"/>
      <c r="CZ1626" s="46"/>
      <c r="DA1626" s="46"/>
      <c r="DB1626" s="46"/>
      <c r="DC1626" s="46"/>
      <c r="DD1626" s="46"/>
      <c r="DE1626" s="46"/>
      <c r="DF1626" s="46"/>
      <c r="DG1626" s="46"/>
      <c r="DH1626" s="46"/>
      <c r="DI1626" s="46"/>
      <c r="DJ1626" s="46"/>
      <c r="DK1626" s="46"/>
      <c r="DL1626" s="46"/>
      <c r="DM1626" s="46"/>
      <c r="DN1626" s="46"/>
      <c r="DO1626" s="46"/>
      <c r="DP1626" s="46"/>
      <c r="DQ1626" s="46"/>
      <c r="DR1626" s="46"/>
      <c r="DS1626" s="46"/>
      <c r="DT1626" s="46"/>
      <c r="DU1626" s="46"/>
      <c r="DV1626" s="46"/>
      <c r="DW1626" s="46"/>
      <c r="DX1626" s="46"/>
      <c r="DY1626" s="46"/>
      <c r="DZ1626" s="46"/>
      <c r="EA1626" s="46"/>
      <c r="EB1626" s="46"/>
      <c r="EC1626" s="46"/>
      <c r="ED1626" s="46"/>
      <c r="EE1626" s="46"/>
      <c r="EF1626" s="46"/>
      <c r="EG1626" s="46"/>
      <c r="EH1626" s="46"/>
      <c r="EI1626" s="46"/>
      <c r="EJ1626" s="46"/>
      <c r="EK1626" s="46"/>
      <c r="EL1626" s="46"/>
      <c r="EM1626" s="46"/>
      <c r="EN1626" s="46"/>
      <c r="EO1626" s="46"/>
      <c r="EP1626" s="46"/>
      <c r="EQ1626" s="46"/>
      <c r="ER1626" s="46"/>
      <c r="ES1626" s="46"/>
      <c r="ET1626" s="46"/>
      <c r="EU1626" s="46"/>
      <c r="EV1626" s="46"/>
      <c r="EW1626" s="46"/>
      <c r="EX1626" s="46"/>
      <c r="EY1626" s="46"/>
      <c r="EZ1626" s="46"/>
      <c r="FA1626" s="46"/>
      <c r="FB1626" s="46"/>
      <c r="FC1626" s="46"/>
      <c r="FD1626" s="46"/>
      <c r="FE1626" s="46"/>
      <c r="FF1626" s="46"/>
      <c r="FG1626" s="46"/>
      <c r="FH1626" s="46"/>
      <c r="FI1626" s="46"/>
      <c r="FJ1626" s="46"/>
      <c r="FK1626" s="46"/>
      <c r="FL1626" s="46"/>
      <c r="FM1626" s="46"/>
      <c r="FN1626" s="46"/>
      <c r="FO1626" s="46"/>
      <c r="FP1626" s="46"/>
      <c r="FQ1626" s="46"/>
      <c r="FR1626" s="46"/>
      <c r="FS1626" s="46"/>
      <c r="FT1626" s="46"/>
      <c r="FU1626" s="46"/>
      <c r="FV1626" s="46"/>
      <c r="FW1626" s="46"/>
      <c r="FX1626" s="46"/>
      <c r="FY1626" s="46"/>
      <c r="FZ1626" s="46"/>
      <c r="GA1626" s="46"/>
      <c r="GB1626" s="46"/>
      <c r="GC1626" s="46"/>
      <c r="GD1626" s="46"/>
      <c r="GE1626" s="46"/>
      <c r="GF1626" s="46"/>
      <c r="GG1626" s="46"/>
      <c r="GH1626" s="46"/>
      <c r="GI1626" s="46"/>
      <c r="GJ1626" s="46"/>
      <c r="GK1626" s="46"/>
      <c r="GL1626" s="46"/>
      <c r="GM1626" s="46"/>
      <c r="GN1626" s="46"/>
      <c r="GO1626" s="46"/>
      <c r="GP1626" s="46"/>
      <c r="GQ1626" s="46"/>
      <c r="GR1626" s="46"/>
      <c r="GS1626" s="46"/>
      <c r="GT1626" s="46"/>
      <c r="GU1626" s="46"/>
    </row>
    <row r="1627" spans="1:203" s="58" customFormat="1" ht="30" hidden="1" customHeight="1" outlineLevel="1" x14ac:dyDescent="0.4">
      <c r="A1627" s="54"/>
      <c r="B1627" s="48" t="s">
        <v>73</v>
      </c>
      <c r="C1627" s="49" t="s">
        <v>74</v>
      </c>
      <c r="D1627" s="68">
        <f>3.31*D1626</f>
        <v>19.4297</v>
      </c>
      <c r="E1627" s="69">
        <v>1.9E-2</v>
      </c>
      <c r="F1627" s="57"/>
    </row>
    <row r="1628" spans="1:203" s="43" customFormat="1" ht="36" customHeight="1" collapsed="1" x14ac:dyDescent="0.35">
      <c r="A1628" s="24">
        <f>A1626+1</f>
        <v>685</v>
      </c>
      <c r="B1628" s="59" t="s">
        <v>75</v>
      </c>
      <c r="C1628" s="26" t="s">
        <v>29</v>
      </c>
      <c r="D1628" s="104">
        <v>5.87</v>
      </c>
      <c r="E1628" s="41"/>
      <c r="F1628" s="42"/>
      <c r="H1628" s="44"/>
      <c r="K1628" s="45"/>
      <c r="L1628" s="45"/>
      <c r="M1628" s="45"/>
      <c r="N1628" s="44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6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  <c r="BP1628" s="46"/>
      <c r="BQ1628" s="46"/>
      <c r="BR1628" s="46"/>
      <c r="BS1628" s="46"/>
      <c r="BT1628" s="46"/>
      <c r="BU1628" s="46"/>
      <c r="BV1628" s="46"/>
      <c r="BW1628" s="46"/>
      <c r="BX1628" s="46"/>
      <c r="BY1628" s="46"/>
      <c r="BZ1628" s="46"/>
      <c r="CA1628" s="46"/>
      <c r="CB1628" s="46"/>
      <c r="CC1628" s="46"/>
      <c r="CD1628" s="46"/>
      <c r="CE1628" s="46"/>
      <c r="CF1628" s="46"/>
      <c r="CG1628" s="46"/>
      <c r="CH1628" s="46"/>
      <c r="CI1628" s="46"/>
      <c r="CJ1628" s="46"/>
      <c r="CK1628" s="46"/>
      <c r="CL1628" s="46"/>
      <c r="CM1628" s="46"/>
      <c r="CN1628" s="46"/>
      <c r="CO1628" s="46"/>
      <c r="CP1628" s="46"/>
      <c r="CQ1628" s="46"/>
      <c r="CR1628" s="46"/>
      <c r="CS1628" s="46"/>
      <c r="CT1628" s="46"/>
      <c r="CU1628" s="46"/>
      <c r="CV1628" s="46"/>
      <c r="CW1628" s="46"/>
      <c r="CX1628" s="46"/>
      <c r="CY1628" s="46"/>
      <c r="CZ1628" s="46"/>
      <c r="DA1628" s="46"/>
      <c r="DB1628" s="46"/>
      <c r="DC1628" s="46"/>
      <c r="DD1628" s="46"/>
      <c r="DE1628" s="46"/>
      <c r="DF1628" s="46"/>
      <c r="DG1628" s="46"/>
      <c r="DH1628" s="46"/>
      <c r="DI1628" s="46"/>
      <c r="DJ1628" s="46"/>
      <c r="DK1628" s="46"/>
      <c r="DL1628" s="46"/>
      <c r="DM1628" s="46"/>
      <c r="DN1628" s="46"/>
      <c r="DO1628" s="46"/>
      <c r="DP1628" s="46"/>
      <c r="DQ1628" s="46"/>
      <c r="DR1628" s="46"/>
      <c r="DS1628" s="46"/>
      <c r="DT1628" s="46"/>
      <c r="DU1628" s="46"/>
      <c r="DV1628" s="46"/>
      <c r="DW1628" s="46"/>
      <c r="DX1628" s="46"/>
      <c r="DY1628" s="46"/>
      <c r="DZ1628" s="46"/>
      <c r="EA1628" s="46"/>
      <c r="EB1628" s="46"/>
      <c r="EC1628" s="46"/>
      <c r="ED1628" s="46"/>
      <c r="EE1628" s="46"/>
      <c r="EF1628" s="46"/>
      <c r="EG1628" s="46"/>
      <c r="EH1628" s="46"/>
      <c r="EI1628" s="46"/>
      <c r="EJ1628" s="46"/>
      <c r="EK1628" s="46"/>
      <c r="EL1628" s="46"/>
      <c r="EM1628" s="46"/>
      <c r="EN1628" s="46"/>
      <c r="EO1628" s="46"/>
      <c r="EP1628" s="46"/>
      <c r="EQ1628" s="46"/>
      <c r="ER1628" s="46"/>
      <c r="ES1628" s="46"/>
      <c r="ET1628" s="46"/>
      <c r="EU1628" s="46"/>
      <c r="EV1628" s="46"/>
      <c r="EW1628" s="46"/>
      <c r="EX1628" s="46"/>
      <c r="EY1628" s="46"/>
      <c r="EZ1628" s="46"/>
      <c r="FA1628" s="46"/>
      <c r="FB1628" s="46"/>
      <c r="FC1628" s="46"/>
      <c r="FD1628" s="46"/>
      <c r="FE1628" s="46"/>
      <c r="FF1628" s="46"/>
      <c r="FG1628" s="46"/>
      <c r="FH1628" s="46"/>
      <c r="FI1628" s="46"/>
      <c r="FJ1628" s="46"/>
      <c r="FK1628" s="46"/>
      <c r="FL1628" s="46"/>
      <c r="FM1628" s="46"/>
      <c r="FN1628" s="46"/>
      <c r="FO1628" s="46"/>
      <c r="FP1628" s="46"/>
      <c r="FQ1628" s="46"/>
      <c r="FR1628" s="46"/>
      <c r="FS1628" s="46"/>
      <c r="FT1628" s="46"/>
      <c r="FU1628" s="46"/>
      <c r="FV1628" s="46"/>
      <c r="FW1628" s="46"/>
      <c r="FX1628" s="46"/>
      <c r="FY1628" s="46"/>
      <c r="FZ1628" s="46"/>
      <c r="GA1628" s="46"/>
      <c r="GB1628" s="46"/>
      <c r="GC1628" s="46"/>
      <c r="GD1628" s="46"/>
      <c r="GE1628" s="46"/>
      <c r="GF1628" s="46"/>
      <c r="GG1628" s="46"/>
      <c r="GH1628" s="46"/>
      <c r="GI1628" s="46"/>
      <c r="GJ1628" s="46"/>
      <c r="GK1628" s="46"/>
      <c r="GL1628" s="46"/>
      <c r="GM1628" s="46"/>
      <c r="GN1628" s="46"/>
      <c r="GO1628" s="46"/>
      <c r="GP1628" s="46"/>
      <c r="GQ1628" s="46"/>
      <c r="GR1628" s="46"/>
      <c r="GS1628" s="46"/>
      <c r="GT1628" s="46"/>
      <c r="GU1628" s="46"/>
    </row>
    <row r="1629" spans="1:203" s="43" customFormat="1" ht="36" customHeight="1" x14ac:dyDescent="0.35">
      <c r="A1629" s="24">
        <f>A1628+1</f>
        <v>686</v>
      </c>
      <c r="B1629" s="59" t="s">
        <v>76</v>
      </c>
      <c r="C1629" s="26" t="s">
        <v>29</v>
      </c>
      <c r="D1629" s="104">
        <v>5.87</v>
      </c>
      <c r="E1629" s="41"/>
      <c r="F1629" s="42"/>
      <c r="H1629" s="44"/>
      <c r="K1629" s="45"/>
      <c r="L1629" s="45"/>
      <c r="M1629" s="45"/>
      <c r="N1629" s="44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  <c r="BP1629" s="46"/>
      <c r="BQ1629" s="46"/>
      <c r="BR1629" s="46"/>
      <c r="BS1629" s="46"/>
      <c r="BT1629" s="46"/>
      <c r="BU1629" s="46"/>
      <c r="BV1629" s="46"/>
      <c r="BW1629" s="46"/>
      <c r="BX1629" s="46"/>
      <c r="BY1629" s="46"/>
      <c r="BZ1629" s="46"/>
      <c r="CA1629" s="46"/>
      <c r="CB1629" s="46"/>
      <c r="CC1629" s="46"/>
      <c r="CD1629" s="46"/>
      <c r="CE1629" s="46"/>
      <c r="CF1629" s="46"/>
      <c r="CG1629" s="46"/>
      <c r="CH1629" s="46"/>
      <c r="CI1629" s="46"/>
      <c r="CJ1629" s="46"/>
      <c r="CK1629" s="46"/>
      <c r="CL1629" s="46"/>
      <c r="CM1629" s="46"/>
      <c r="CN1629" s="46"/>
      <c r="CO1629" s="46"/>
      <c r="CP1629" s="46"/>
      <c r="CQ1629" s="46"/>
      <c r="CR1629" s="46"/>
      <c r="CS1629" s="46"/>
      <c r="CT1629" s="46"/>
      <c r="CU1629" s="46"/>
      <c r="CV1629" s="46"/>
      <c r="CW1629" s="46"/>
      <c r="CX1629" s="46"/>
      <c r="CY1629" s="46"/>
      <c r="CZ1629" s="46"/>
      <c r="DA1629" s="46"/>
      <c r="DB1629" s="46"/>
      <c r="DC1629" s="46"/>
      <c r="DD1629" s="46"/>
      <c r="DE1629" s="46"/>
      <c r="DF1629" s="46"/>
      <c r="DG1629" s="46"/>
      <c r="DH1629" s="46"/>
      <c r="DI1629" s="46"/>
      <c r="DJ1629" s="46"/>
      <c r="DK1629" s="46"/>
      <c r="DL1629" s="46"/>
      <c r="DM1629" s="46"/>
      <c r="DN1629" s="46"/>
      <c r="DO1629" s="46"/>
      <c r="DP1629" s="46"/>
      <c r="DQ1629" s="46"/>
      <c r="DR1629" s="46"/>
      <c r="DS1629" s="46"/>
      <c r="DT1629" s="46"/>
      <c r="DU1629" s="46"/>
      <c r="DV1629" s="46"/>
      <c r="DW1629" s="46"/>
      <c r="DX1629" s="46"/>
      <c r="DY1629" s="46"/>
      <c r="DZ1629" s="46"/>
      <c r="EA1629" s="46"/>
      <c r="EB1629" s="46"/>
      <c r="EC1629" s="46"/>
      <c r="ED1629" s="46"/>
      <c r="EE1629" s="46"/>
      <c r="EF1629" s="46"/>
      <c r="EG1629" s="46"/>
      <c r="EH1629" s="46"/>
      <c r="EI1629" s="46"/>
      <c r="EJ1629" s="46"/>
      <c r="EK1629" s="46"/>
      <c r="EL1629" s="46"/>
      <c r="EM1629" s="46"/>
      <c r="EN1629" s="46"/>
      <c r="EO1629" s="46"/>
      <c r="EP1629" s="46"/>
      <c r="EQ1629" s="46"/>
      <c r="ER1629" s="46"/>
      <c r="ES1629" s="46"/>
      <c r="ET1629" s="46"/>
      <c r="EU1629" s="46"/>
      <c r="EV1629" s="46"/>
      <c r="EW1629" s="46"/>
      <c r="EX1629" s="46"/>
      <c r="EY1629" s="46"/>
      <c r="EZ1629" s="46"/>
      <c r="FA1629" s="46"/>
      <c r="FB1629" s="46"/>
      <c r="FC1629" s="46"/>
      <c r="FD1629" s="46"/>
      <c r="FE1629" s="46"/>
      <c r="FF1629" s="46"/>
      <c r="FG1629" s="46"/>
      <c r="FH1629" s="46"/>
      <c r="FI1629" s="46"/>
      <c r="FJ1629" s="46"/>
      <c r="FK1629" s="46"/>
      <c r="FL1629" s="46"/>
      <c r="FM1629" s="46"/>
      <c r="FN1629" s="46"/>
      <c r="FO1629" s="46"/>
      <c r="FP1629" s="46"/>
      <c r="FQ1629" s="46"/>
      <c r="FR1629" s="46"/>
      <c r="FS1629" s="46"/>
      <c r="FT1629" s="46"/>
      <c r="FU1629" s="46"/>
      <c r="FV1629" s="46"/>
      <c r="FW1629" s="46"/>
      <c r="FX1629" s="46"/>
      <c r="FY1629" s="46"/>
      <c r="FZ1629" s="46"/>
      <c r="GA1629" s="46"/>
      <c r="GB1629" s="46"/>
      <c r="GC1629" s="46"/>
      <c r="GD1629" s="46"/>
      <c r="GE1629" s="46"/>
      <c r="GF1629" s="46"/>
      <c r="GG1629" s="46"/>
      <c r="GH1629" s="46"/>
      <c r="GI1629" s="46"/>
      <c r="GJ1629" s="46"/>
      <c r="GK1629" s="46"/>
      <c r="GL1629" s="46"/>
      <c r="GM1629" s="46"/>
      <c r="GN1629" s="46"/>
      <c r="GO1629" s="46"/>
      <c r="GP1629" s="46"/>
      <c r="GQ1629" s="46"/>
      <c r="GR1629" s="46"/>
      <c r="GS1629" s="46"/>
      <c r="GT1629" s="46"/>
      <c r="GU1629" s="46"/>
    </row>
    <row r="1630" spans="1:203" s="58" customFormat="1" ht="30" customHeight="1" x14ac:dyDescent="0.4">
      <c r="A1630" s="24">
        <f>A1629+1</f>
        <v>687</v>
      </c>
      <c r="B1630" s="59" t="s">
        <v>77</v>
      </c>
      <c r="C1630" s="70" t="s">
        <v>29</v>
      </c>
      <c r="D1630" s="104">
        <v>5.87</v>
      </c>
      <c r="E1630" s="66"/>
      <c r="F1630" s="57"/>
    </row>
    <row r="1631" spans="1:203" s="58" customFormat="1" ht="30" hidden="1" customHeight="1" outlineLevel="1" x14ac:dyDescent="0.4">
      <c r="A1631" s="54"/>
      <c r="B1631" s="48" t="s">
        <v>78</v>
      </c>
      <c r="C1631" s="49" t="s">
        <v>74</v>
      </c>
      <c r="D1631" s="68">
        <f>D1630*0.255</f>
        <v>1.49685</v>
      </c>
      <c r="E1631" s="69">
        <v>1E-3</v>
      </c>
      <c r="F1631" s="57"/>
    </row>
    <row r="1632" spans="1:203" s="58" customFormat="1" ht="30" customHeight="1" collapsed="1" x14ac:dyDescent="0.4">
      <c r="A1632" s="24">
        <f>A1630+1</f>
        <v>688</v>
      </c>
      <c r="B1632" s="59" t="s">
        <v>79</v>
      </c>
      <c r="C1632" s="70" t="s">
        <v>29</v>
      </c>
      <c r="D1632" s="104">
        <v>5.87</v>
      </c>
      <c r="E1632" s="66"/>
      <c r="F1632" s="57"/>
    </row>
    <row r="1633" spans="1:28" s="58" customFormat="1" ht="30" hidden="1" customHeight="1" outlineLevel="1" x14ac:dyDescent="0.4">
      <c r="A1633" s="54"/>
      <c r="B1633" s="48" t="s">
        <v>80</v>
      </c>
      <c r="C1633" s="49" t="s">
        <v>74</v>
      </c>
      <c r="D1633" s="68">
        <f>D1632*0.36*2</f>
        <v>4.2263999999999999</v>
      </c>
      <c r="E1633" s="69">
        <v>4.0000000000000001E-3</v>
      </c>
      <c r="F1633" s="57"/>
    </row>
    <row r="1634" spans="1:28" s="58" customFormat="1" ht="30" customHeight="1" collapsed="1" x14ac:dyDescent="0.4">
      <c r="A1634" s="24">
        <f>A1632+1</f>
        <v>689</v>
      </c>
      <c r="B1634" s="59" t="s">
        <v>368</v>
      </c>
      <c r="C1634" s="70" t="s">
        <v>58</v>
      </c>
      <c r="D1634" s="40">
        <v>2</v>
      </c>
      <c r="E1634" s="66"/>
      <c r="F1634" s="57"/>
    </row>
    <row r="1635" spans="1:28" s="58" customFormat="1" ht="30" hidden="1" customHeight="1" outlineLevel="1" x14ac:dyDescent="0.4">
      <c r="A1635" s="54"/>
      <c r="B1635" s="48" t="s">
        <v>555</v>
      </c>
      <c r="C1635" s="49" t="s">
        <v>58</v>
      </c>
      <c r="D1635" s="75">
        <v>2</v>
      </c>
      <c r="E1635" s="51"/>
      <c r="F1635" s="57"/>
    </row>
    <row r="1636" spans="1:28" s="58" customFormat="1" ht="46.3" collapsed="1" x14ac:dyDescent="0.4">
      <c r="A1636" s="24">
        <f>A1634+1</f>
        <v>690</v>
      </c>
      <c r="B1636" s="59" t="s">
        <v>364</v>
      </c>
      <c r="C1636" s="70" t="s">
        <v>19</v>
      </c>
      <c r="D1636" s="67">
        <v>0.56000000000000005</v>
      </c>
      <c r="E1636" s="66"/>
      <c r="F1636" s="57"/>
    </row>
    <row r="1637" spans="1:28" s="58" customFormat="1" ht="30.9" hidden="1" outlineLevel="1" x14ac:dyDescent="0.4">
      <c r="A1637" s="54"/>
      <c r="B1637" s="48" t="s">
        <v>365</v>
      </c>
      <c r="C1637" s="49" t="s">
        <v>19</v>
      </c>
      <c r="D1637" s="68">
        <v>0.56000000000000005</v>
      </c>
      <c r="E1637" s="69">
        <v>1E-3</v>
      </c>
      <c r="F1637" s="57"/>
      <c r="J1637" s="58">
        <v>1.08</v>
      </c>
    </row>
    <row r="1638" spans="1:28" s="58" customFormat="1" ht="30" customHeight="1" collapsed="1" x14ac:dyDescent="0.4">
      <c r="A1638" s="24">
        <f>A1636+1</f>
        <v>691</v>
      </c>
      <c r="B1638" s="59" t="s">
        <v>366</v>
      </c>
      <c r="C1638" s="70" t="s">
        <v>29</v>
      </c>
      <c r="D1638" s="67">
        <v>9.01</v>
      </c>
      <c r="E1638" s="66"/>
      <c r="F1638" s="57"/>
    </row>
    <row r="1639" spans="1:28" s="58" customFormat="1" ht="30" hidden="1" customHeight="1" outlineLevel="1" x14ac:dyDescent="0.4">
      <c r="A1639" s="54"/>
      <c r="B1639" s="48" t="s">
        <v>367</v>
      </c>
      <c r="C1639" s="49" t="s">
        <v>29</v>
      </c>
      <c r="D1639" s="68">
        <v>9.01</v>
      </c>
      <c r="E1639" s="69"/>
      <c r="F1639" s="57"/>
      <c r="J1639" s="58">
        <v>1.22</v>
      </c>
    </row>
    <row r="1640" spans="1:28" ht="31" customHeight="1" collapsed="1" x14ac:dyDescent="0.35">
      <c r="A1640" s="24">
        <f>A1638+1</f>
        <v>692</v>
      </c>
      <c r="B1640" s="25" t="s">
        <v>563</v>
      </c>
      <c r="C1640" s="70" t="s">
        <v>561</v>
      </c>
      <c r="D1640" s="26">
        <v>16</v>
      </c>
      <c r="E1640" s="41"/>
      <c r="F1640" s="42"/>
    </row>
    <row r="1641" spans="1:28" ht="31" customHeight="1" x14ac:dyDescent="0.35">
      <c r="A1641" s="24">
        <f>A1640+1</f>
        <v>693</v>
      </c>
      <c r="B1641" s="25" t="s">
        <v>567</v>
      </c>
      <c r="C1641" s="70" t="s">
        <v>561</v>
      </c>
      <c r="D1641" s="26">
        <v>16</v>
      </c>
      <c r="E1641" s="41"/>
      <c r="F1641" s="42"/>
    </row>
    <row r="1642" spans="1:28" ht="31" customHeight="1" x14ac:dyDescent="0.35">
      <c r="A1642" s="24">
        <f>A1641+1</f>
        <v>694</v>
      </c>
      <c r="B1642" s="25" t="s">
        <v>730</v>
      </c>
      <c r="C1642" s="89" t="s">
        <v>570</v>
      </c>
      <c r="D1642" s="26">
        <v>32</v>
      </c>
      <c r="E1642" s="41"/>
      <c r="F1642" s="42"/>
    </row>
    <row r="1643" spans="1:28" s="39" customFormat="1" ht="21" customHeight="1" x14ac:dyDescent="0.35">
      <c r="A1643" s="158" t="s">
        <v>731</v>
      </c>
      <c r="B1643" s="158"/>
      <c r="C1643" s="158"/>
      <c r="D1643" s="158"/>
      <c r="E1643" s="158"/>
      <c r="F1643" s="34"/>
      <c r="G1643" s="35"/>
      <c r="H1643" s="36"/>
      <c r="I1643" s="37"/>
      <c r="J1643" s="37"/>
      <c r="K1643" s="38"/>
      <c r="L1643" s="38"/>
      <c r="M1643" s="38"/>
      <c r="N1643" s="36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</row>
    <row r="1644" spans="1:28" s="58" customFormat="1" ht="30" customHeight="1" x14ac:dyDescent="0.4">
      <c r="A1644" s="72">
        <f>A1642+1</f>
        <v>695</v>
      </c>
      <c r="B1644" s="25" t="s">
        <v>308</v>
      </c>
      <c r="C1644" s="89" t="s">
        <v>19</v>
      </c>
      <c r="D1644" s="105">
        <f>0.7*0.5*36</f>
        <v>12.6</v>
      </c>
      <c r="E1644" s="91"/>
      <c r="F1644" s="57"/>
    </row>
    <row r="1645" spans="1:28" s="58" customFormat="1" ht="30" customHeight="1" x14ac:dyDescent="0.4">
      <c r="A1645" s="72">
        <f>A1644+1</f>
        <v>696</v>
      </c>
      <c r="B1645" s="25" t="s">
        <v>309</v>
      </c>
      <c r="C1645" s="89" t="s">
        <v>19</v>
      </c>
      <c r="D1645" s="105">
        <f>0.7*0.5*36</f>
        <v>12.6</v>
      </c>
      <c r="E1645" s="91"/>
      <c r="F1645" s="57"/>
    </row>
    <row r="1646" spans="1:28" s="58" customFormat="1" ht="30" customHeight="1" x14ac:dyDescent="0.4">
      <c r="A1646" s="24">
        <f>A1645+1</f>
        <v>697</v>
      </c>
      <c r="B1646" s="25" t="s">
        <v>310</v>
      </c>
      <c r="C1646" s="89" t="s">
        <v>19</v>
      </c>
      <c r="D1646" s="105">
        <f>0.7*0.5*36</f>
        <v>12.6</v>
      </c>
      <c r="E1646" s="91"/>
      <c r="F1646" s="57"/>
    </row>
    <row r="1647" spans="1:28" s="58" customFormat="1" ht="30" customHeight="1" x14ac:dyDescent="0.4">
      <c r="A1647" s="24">
        <f>A1646+1</f>
        <v>698</v>
      </c>
      <c r="B1647" s="59" t="s">
        <v>403</v>
      </c>
      <c r="C1647" s="70" t="s">
        <v>132</v>
      </c>
      <c r="D1647" s="40">
        <v>36</v>
      </c>
      <c r="E1647" s="66"/>
      <c r="F1647" s="57"/>
    </row>
    <row r="1648" spans="1:28" s="58" customFormat="1" ht="30" hidden="1" customHeight="1" outlineLevel="1" x14ac:dyDescent="0.4">
      <c r="A1648" s="54"/>
      <c r="B1648" s="48" t="s">
        <v>404</v>
      </c>
      <c r="C1648" s="49" t="s">
        <v>14</v>
      </c>
      <c r="D1648" s="65">
        <f>36*1.26/1000</f>
        <v>4.5359999999999998E-2</v>
      </c>
      <c r="E1648" s="51">
        <v>4.4999999999999998E-2</v>
      </c>
      <c r="F1648" s="57"/>
    </row>
    <row r="1649" spans="1:28" ht="36" customHeight="1" collapsed="1" x14ac:dyDescent="0.35">
      <c r="A1649" s="24">
        <f>A1647+1</f>
        <v>699</v>
      </c>
      <c r="B1649" s="59" t="s">
        <v>405</v>
      </c>
      <c r="C1649" s="26" t="s">
        <v>58</v>
      </c>
      <c r="D1649" s="82">
        <v>4</v>
      </c>
      <c r="E1649" s="41"/>
      <c r="F1649" s="42"/>
    </row>
    <row r="1650" spans="1:28" s="58" customFormat="1" ht="30" hidden="1" customHeight="1" outlineLevel="1" x14ac:dyDescent="0.4">
      <c r="A1650" s="54"/>
      <c r="B1650" s="48" t="s">
        <v>406</v>
      </c>
      <c r="C1650" s="49" t="s">
        <v>14</v>
      </c>
      <c r="D1650" s="65">
        <f>20*1.58/1000</f>
        <v>3.1600000000000003E-2</v>
      </c>
      <c r="E1650" s="51">
        <v>3.2000000000000001E-2</v>
      </c>
      <c r="F1650" s="57"/>
    </row>
    <row r="1651" spans="1:28" s="58" customFormat="1" ht="30" customHeight="1" collapsed="1" x14ac:dyDescent="0.4">
      <c r="A1651" s="24">
        <f>A1649+1</f>
        <v>700</v>
      </c>
      <c r="B1651" s="71" t="s">
        <v>315</v>
      </c>
      <c r="C1651" s="40" t="s">
        <v>132</v>
      </c>
      <c r="D1651" s="40">
        <v>19</v>
      </c>
      <c r="E1651" s="66"/>
      <c r="F1651" s="57"/>
    </row>
    <row r="1652" spans="1:28" s="58" customFormat="1" ht="30" hidden="1" customHeight="1" outlineLevel="1" x14ac:dyDescent="0.4">
      <c r="A1652" s="87"/>
      <c r="B1652" s="48" t="s">
        <v>314</v>
      </c>
      <c r="C1652" s="75" t="s">
        <v>14</v>
      </c>
      <c r="D1652" s="65">
        <f>19*1.26/1000</f>
        <v>2.3940000000000003E-2</v>
      </c>
      <c r="E1652" s="88">
        <v>2.4E-2</v>
      </c>
      <c r="F1652" s="57"/>
    </row>
    <row r="1653" spans="1:28" ht="36" customHeight="1" collapsed="1" x14ac:dyDescent="0.35">
      <c r="A1653" s="24">
        <f>A1651+1</f>
        <v>701</v>
      </c>
      <c r="B1653" s="59" t="s">
        <v>316</v>
      </c>
      <c r="C1653" s="26" t="s">
        <v>132</v>
      </c>
      <c r="D1653" s="82">
        <v>10</v>
      </c>
      <c r="E1653" s="41"/>
      <c r="F1653" s="42"/>
    </row>
    <row r="1654" spans="1:28" s="58" customFormat="1" ht="30" hidden="1" customHeight="1" outlineLevel="1" x14ac:dyDescent="0.4">
      <c r="A1654" s="54"/>
      <c r="B1654" s="48" t="s">
        <v>407</v>
      </c>
      <c r="C1654" s="49" t="s">
        <v>132</v>
      </c>
      <c r="D1654" s="55">
        <v>10</v>
      </c>
      <c r="E1654" s="51"/>
      <c r="F1654" s="57"/>
    </row>
    <row r="1655" spans="1:28" s="58" customFormat="1" ht="30" hidden="1" customHeight="1" outlineLevel="1" x14ac:dyDescent="0.4">
      <c r="A1655" s="54"/>
      <c r="B1655" s="48" t="s">
        <v>408</v>
      </c>
      <c r="C1655" s="49" t="s">
        <v>58</v>
      </c>
      <c r="D1655" s="55">
        <v>20</v>
      </c>
      <c r="E1655" s="51"/>
      <c r="F1655" s="57"/>
    </row>
    <row r="1656" spans="1:28" s="58" customFormat="1" ht="30" hidden="1" customHeight="1" outlineLevel="1" x14ac:dyDescent="0.4">
      <c r="A1656" s="54"/>
      <c r="B1656" s="48" t="s">
        <v>409</v>
      </c>
      <c r="C1656" s="49" t="s">
        <v>58</v>
      </c>
      <c r="D1656" s="55">
        <v>20</v>
      </c>
      <c r="E1656" s="51"/>
      <c r="F1656" s="57"/>
    </row>
    <row r="1657" spans="1:28" s="58" customFormat="1" ht="30" hidden="1" customHeight="1" outlineLevel="1" x14ac:dyDescent="0.4">
      <c r="A1657" s="54"/>
      <c r="B1657" s="48" t="s">
        <v>410</v>
      </c>
      <c r="C1657" s="49" t="s">
        <v>58</v>
      </c>
      <c r="D1657" s="55">
        <v>20</v>
      </c>
      <c r="E1657" s="51"/>
      <c r="F1657" s="57"/>
    </row>
    <row r="1658" spans="1:28" s="58" customFormat="1" ht="30" hidden="1" customHeight="1" outlineLevel="1" x14ac:dyDescent="0.4">
      <c r="A1658" s="54"/>
      <c r="B1658" s="48" t="s">
        <v>411</v>
      </c>
      <c r="C1658" s="49" t="s">
        <v>58</v>
      </c>
      <c r="D1658" s="55">
        <v>40</v>
      </c>
      <c r="E1658" s="51"/>
      <c r="F1658" s="57"/>
    </row>
    <row r="1659" spans="1:28" s="39" customFormat="1" ht="21" customHeight="1" collapsed="1" x14ac:dyDescent="0.35">
      <c r="A1659" s="158" t="s">
        <v>732</v>
      </c>
      <c r="B1659" s="158"/>
      <c r="C1659" s="158"/>
      <c r="D1659" s="158"/>
      <c r="E1659" s="158"/>
      <c r="F1659" s="34"/>
      <c r="G1659" s="35"/>
      <c r="H1659" s="36"/>
      <c r="I1659" s="37"/>
      <c r="J1659" s="37"/>
      <c r="K1659" s="38"/>
      <c r="L1659" s="38"/>
      <c r="M1659" s="38"/>
      <c r="N1659" s="36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</row>
    <row r="1660" spans="1:28" s="58" customFormat="1" ht="30" customHeight="1" x14ac:dyDescent="0.4">
      <c r="A1660" s="24">
        <f>A1653+1</f>
        <v>702</v>
      </c>
      <c r="B1660" s="25" t="s">
        <v>582</v>
      </c>
      <c r="C1660" s="89" t="s">
        <v>132</v>
      </c>
      <c r="D1660" s="90">
        <v>345</v>
      </c>
      <c r="E1660" s="91"/>
      <c r="F1660" s="57"/>
    </row>
    <row r="1661" spans="1:28" s="58" customFormat="1" ht="30" hidden="1" customHeight="1" outlineLevel="1" x14ac:dyDescent="0.4">
      <c r="A1661" s="87"/>
      <c r="B1661" s="48" t="s">
        <v>583</v>
      </c>
      <c r="C1661" s="75" t="s">
        <v>132</v>
      </c>
      <c r="D1661" s="74">
        <v>120</v>
      </c>
      <c r="E1661" s="88">
        <v>3.6999999999999998E-2</v>
      </c>
      <c r="F1661" s="57"/>
    </row>
    <row r="1662" spans="1:28" s="58" customFormat="1" ht="30" hidden="1" customHeight="1" outlineLevel="1" x14ac:dyDescent="0.4">
      <c r="A1662" s="87"/>
      <c r="B1662" s="48" t="s">
        <v>685</v>
      </c>
      <c r="C1662" s="75" t="s">
        <v>132</v>
      </c>
      <c r="D1662" s="74">
        <v>225</v>
      </c>
      <c r="E1662" s="88">
        <v>7.0000000000000007E-2</v>
      </c>
      <c r="F1662" s="57"/>
    </row>
    <row r="1663" spans="1:28" s="58" customFormat="1" ht="30" hidden="1" customHeight="1" outlineLevel="1" x14ac:dyDescent="0.4">
      <c r="A1663" s="87"/>
      <c r="B1663" s="48" t="s">
        <v>441</v>
      </c>
      <c r="C1663" s="75" t="s">
        <v>58</v>
      </c>
      <c r="D1663" s="74">
        <v>16</v>
      </c>
      <c r="E1663" s="88"/>
      <c r="F1663" s="57"/>
    </row>
    <row r="1664" spans="1:28" s="58" customFormat="1" ht="30" customHeight="1" collapsed="1" x14ac:dyDescent="0.4">
      <c r="A1664" s="24">
        <f>A1660+1</f>
        <v>703</v>
      </c>
      <c r="B1664" s="25" t="s">
        <v>733</v>
      </c>
      <c r="C1664" s="89" t="s">
        <v>132</v>
      </c>
      <c r="D1664" s="90">
        <v>40</v>
      </c>
      <c r="E1664" s="91"/>
      <c r="F1664" s="57"/>
    </row>
    <row r="1665" spans="1:203" s="58" customFormat="1" ht="30" hidden="1" customHeight="1" outlineLevel="1" x14ac:dyDescent="0.4">
      <c r="A1665" s="87"/>
      <c r="B1665" s="48" t="s">
        <v>734</v>
      </c>
      <c r="C1665" s="75" t="s">
        <v>132</v>
      </c>
      <c r="D1665" s="74">
        <v>40</v>
      </c>
      <c r="E1665" s="88">
        <v>0.08</v>
      </c>
      <c r="F1665" s="57"/>
    </row>
    <row r="1666" spans="1:203" s="58" customFormat="1" ht="30" hidden="1" customHeight="1" outlineLevel="1" x14ac:dyDescent="0.4">
      <c r="A1666" s="87"/>
      <c r="B1666" s="48" t="s">
        <v>441</v>
      </c>
      <c r="C1666" s="75" t="s">
        <v>58</v>
      </c>
      <c r="D1666" s="74">
        <v>4</v>
      </c>
      <c r="E1666" s="88"/>
      <c r="F1666" s="57"/>
    </row>
    <row r="1667" spans="1:203" s="58" customFormat="1" ht="30" customHeight="1" collapsed="1" x14ac:dyDescent="0.4">
      <c r="A1667" s="92">
        <f>A1664+1</f>
        <v>704</v>
      </c>
      <c r="B1667" s="25" t="s">
        <v>316</v>
      </c>
      <c r="C1667" s="89" t="s">
        <v>132</v>
      </c>
      <c r="D1667" s="96">
        <v>10</v>
      </c>
      <c r="E1667" s="98"/>
      <c r="F1667" s="57"/>
    </row>
    <row r="1668" spans="1:203" s="58" customFormat="1" ht="30" hidden="1" customHeight="1" outlineLevel="1" x14ac:dyDescent="0.4">
      <c r="A1668" s="87"/>
      <c r="B1668" s="48" t="s">
        <v>317</v>
      </c>
      <c r="C1668" s="75" t="s">
        <v>132</v>
      </c>
      <c r="D1668" s="74">
        <v>10</v>
      </c>
      <c r="E1668" s="93"/>
      <c r="F1668" s="57"/>
    </row>
    <row r="1669" spans="1:203" s="58" customFormat="1" ht="30" customHeight="1" collapsed="1" x14ac:dyDescent="0.4">
      <c r="A1669" s="24">
        <f>A1667+1</f>
        <v>705</v>
      </c>
      <c r="B1669" s="25" t="s">
        <v>340</v>
      </c>
      <c r="C1669" s="89" t="s">
        <v>132</v>
      </c>
      <c r="D1669" s="90">
        <v>152</v>
      </c>
      <c r="E1669" s="99"/>
      <c r="F1669" s="57"/>
    </row>
    <row r="1670" spans="1:203" s="58" customFormat="1" ht="30" hidden="1" customHeight="1" outlineLevel="1" x14ac:dyDescent="0.4">
      <c r="A1670" s="87"/>
      <c r="B1670" s="48" t="s">
        <v>341</v>
      </c>
      <c r="C1670" s="75" t="s">
        <v>14</v>
      </c>
      <c r="D1670" s="77">
        <f>116*1.66/1000*1.1</f>
        <v>0.21181600000000003</v>
      </c>
      <c r="E1670" s="94">
        <f>116*1.66/1000*1.1</f>
        <v>0.21181600000000003</v>
      </c>
      <c r="F1670" s="57"/>
    </row>
    <row r="1671" spans="1:203" s="58" customFormat="1" ht="30" hidden="1" customHeight="1" outlineLevel="1" x14ac:dyDescent="0.4">
      <c r="A1671" s="87"/>
      <c r="B1671" s="48" t="s">
        <v>735</v>
      </c>
      <c r="C1671" s="75" t="s">
        <v>14</v>
      </c>
      <c r="D1671" s="77">
        <f>36*1.66/1000*1.1</f>
        <v>6.5736000000000003E-2</v>
      </c>
      <c r="E1671" s="94">
        <f>36*1.66/1000*1.1</f>
        <v>6.5736000000000003E-2</v>
      </c>
      <c r="F1671" s="57"/>
    </row>
    <row r="1672" spans="1:203" s="58" customFormat="1" ht="30" customHeight="1" collapsed="1" x14ac:dyDescent="0.4">
      <c r="A1672" s="92">
        <f>A1669+1</f>
        <v>706</v>
      </c>
      <c r="B1672" s="25" t="s">
        <v>284</v>
      </c>
      <c r="C1672" s="89" t="s">
        <v>132</v>
      </c>
      <c r="D1672" s="90">
        <v>23</v>
      </c>
      <c r="E1672" s="91"/>
      <c r="F1672" s="57"/>
    </row>
    <row r="1673" spans="1:203" s="58" customFormat="1" ht="30" hidden="1" customHeight="1" outlineLevel="1" x14ac:dyDescent="0.4">
      <c r="A1673" s="87"/>
      <c r="B1673" s="48" t="s">
        <v>342</v>
      </c>
      <c r="C1673" s="75" t="s">
        <v>132</v>
      </c>
      <c r="D1673" s="74">
        <v>19</v>
      </c>
      <c r="E1673" s="88"/>
      <c r="F1673" s="57"/>
    </row>
    <row r="1674" spans="1:203" s="58" customFormat="1" ht="30" hidden="1" customHeight="1" outlineLevel="1" x14ac:dyDescent="0.4">
      <c r="A1674" s="87"/>
      <c r="B1674" s="48" t="s">
        <v>285</v>
      </c>
      <c r="C1674" s="75" t="s">
        <v>132</v>
      </c>
      <c r="D1674" s="74">
        <v>4</v>
      </c>
      <c r="E1674" s="88"/>
      <c r="F1674" s="57"/>
    </row>
    <row r="1675" spans="1:203" s="58" customFormat="1" ht="30" hidden="1" customHeight="1" outlineLevel="1" x14ac:dyDescent="0.4">
      <c r="A1675" s="87"/>
      <c r="B1675" s="48" t="s">
        <v>343</v>
      </c>
      <c r="C1675" s="75" t="s">
        <v>132</v>
      </c>
      <c r="D1675" s="74">
        <v>12</v>
      </c>
      <c r="E1675" s="88"/>
      <c r="F1675" s="57"/>
    </row>
    <row r="1676" spans="1:203" s="58" customFormat="1" ht="30" hidden="1" customHeight="1" outlineLevel="1" x14ac:dyDescent="0.4">
      <c r="A1676" s="87"/>
      <c r="B1676" s="48" t="s">
        <v>736</v>
      </c>
      <c r="C1676" s="75" t="s">
        <v>132</v>
      </c>
      <c r="D1676" s="74">
        <v>2</v>
      </c>
      <c r="E1676" s="88"/>
      <c r="F1676" s="57"/>
    </row>
    <row r="1677" spans="1:203" s="58" customFormat="1" ht="30" hidden="1" customHeight="1" outlineLevel="1" x14ac:dyDescent="0.4">
      <c r="A1677" s="87"/>
      <c r="B1677" s="48" t="s">
        <v>348</v>
      </c>
      <c r="C1677" s="75" t="s">
        <v>349</v>
      </c>
      <c r="D1677" s="74">
        <v>1</v>
      </c>
      <c r="E1677" s="88"/>
      <c r="F1677" s="57"/>
    </row>
    <row r="1678" spans="1:203" s="43" customFormat="1" ht="31" customHeight="1" collapsed="1" x14ac:dyDescent="0.35">
      <c r="A1678" s="24">
        <f>A1672+1</f>
        <v>707</v>
      </c>
      <c r="B1678" s="25" t="s">
        <v>592</v>
      </c>
      <c r="C1678" s="89" t="s">
        <v>58</v>
      </c>
      <c r="D1678" s="26">
        <v>1</v>
      </c>
      <c r="E1678" s="41"/>
      <c r="F1678" s="42"/>
      <c r="H1678" s="44"/>
      <c r="K1678" s="45"/>
      <c r="L1678" s="45"/>
      <c r="M1678" s="45"/>
      <c r="N1678" s="44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  <c r="BP1678" s="46"/>
      <c r="BQ1678" s="46"/>
      <c r="BR1678" s="46"/>
      <c r="BS1678" s="46"/>
      <c r="BT1678" s="46"/>
      <c r="BU1678" s="46"/>
      <c r="BV1678" s="46"/>
      <c r="BW1678" s="46"/>
      <c r="BX1678" s="46"/>
      <c r="BY1678" s="46"/>
      <c r="BZ1678" s="46"/>
      <c r="CA1678" s="46"/>
      <c r="CB1678" s="46"/>
      <c r="CC1678" s="46"/>
      <c r="CD1678" s="46"/>
      <c r="CE1678" s="46"/>
      <c r="CF1678" s="46"/>
      <c r="CG1678" s="46"/>
      <c r="CH1678" s="46"/>
      <c r="CI1678" s="46"/>
      <c r="CJ1678" s="46"/>
      <c r="CK1678" s="46"/>
      <c r="CL1678" s="46"/>
      <c r="CM1678" s="46"/>
      <c r="CN1678" s="46"/>
      <c r="CO1678" s="46"/>
      <c r="CP1678" s="46"/>
      <c r="CQ1678" s="46"/>
      <c r="CR1678" s="46"/>
      <c r="CS1678" s="46"/>
      <c r="CT1678" s="46"/>
      <c r="CU1678" s="46"/>
      <c r="CV1678" s="46"/>
      <c r="CW1678" s="46"/>
      <c r="CX1678" s="46"/>
      <c r="CY1678" s="46"/>
      <c r="CZ1678" s="46"/>
      <c r="DA1678" s="46"/>
      <c r="DB1678" s="46"/>
      <c r="DC1678" s="46"/>
      <c r="DD1678" s="46"/>
      <c r="DE1678" s="46"/>
      <c r="DF1678" s="46"/>
      <c r="DG1678" s="46"/>
      <c r="DH1678" s="46"/>
      <c r="DI1678" s="46"/>
      <c r="DJ1678" s="46"/>
      <c r="DK1678" s="46"/>
      <c r="DL1678" s="46"/>
      <c r="DM1678" s="46"/>
      <c r="DN1678" s="46"/>
      <c r="DO1678" s="46"/>
      <c r="DP1678" s="46"/>
      <c r="DQ1678" s="46"/>
      <c r="DR1678" s="46"/>
      <c r="DS1678" s="46"/>
      <c r="DT1678" s="46"/>
      <c r="DU1678" s="46"/>
      <c r="DV1678" s="46"/>
      <c r="DW1678" s="46"/>
      <c r="DX1678" s="46"/>
      <c r="DY1678" s="46"/>
      <c r="DZ1678" s="46"/>
      <c r="EA1678" s="46"/>
      <c r="EB1678" s="46"/>
      <c r="EC1678" s="46"/>
      <c r="ED1678" s="46"/>
      <c r="EE1678" s="46"/>
      <c r="EF1678" s="46"/>
      <c r="EG1678" s="46"/>
      <c r="EH1678" s="46"/>
      <c r="EI1678" s="46"/>
      <c r="EJ1678" s="46"/>
      <c r="EK1678" s="46"/>
      <c r="EL1678" s="46"/>
      <c r="EM1678" s="46"/>
      <c r="EN1678" s="46"/>
      <c r="EO1678" s="46"/>
      <c r="EP1678" s="46"/>
      <c r="EQ1678" s="46"/>
      <c r="ER1678" s="46"/>
      <c r="ES1678" s="46"/>
      <c r="ET1678" s="46"/>
      <c r="EU1678" s="46"/>
      <c r="EV1678" s="46"/>
      <c r="EW1678" s="46"/>
      <c r="EX1678" s="46"/>
      <c r="EY1678" s="46"/>
      <c r="EZ1678" s="46"/>
      <c r="FA1678" s="46"/>
      <c r="FB1678" s="46"/>
      <c r="FC1678" s="46"/>
      <c r="FD1678" s="46"/>
      <c r="FE1678" s="46"/>
      <c r="FF1678" s="46"/>
      <c r="FG1678" s="46"/>
      <c r="FH1678" s="46"/>
      <c r="FI1678" s="46"/>
      <c r="FJ1678" s="46"/>
      <c r="FK1678" s="46"/>
      <c r="FL1678" s="46"/>
      <c r="FM1678" s="46"/>
      <c r="FN1678" s="46"/>
      <c r="FO1678" s="46"/>
      <c r="FP1678" s="46"/>
      <c r="FQ1678" s="46"/>
      <c r="FR1678" s="46"/>
      <c r="FS1678" s="46"/>
      <c r="FT1678" s="46"/>
      <c r="FU1678" s="46"/>
      <c r="FV1678" s="46"/>
      <c r="FW1678" s="46"/>
      <c r="FX1678" s="46"/>
      <c r="FY1678" s="46"/>
      <c r="FZ1678" s="46"/>
      <c r="GA1678" s="46"/>
      <c r="GB1678" s="46"/>
      <c r="GC1678" s="46"/>
      <c r="GD1678" s="46"/>
      <c r="GE1678" s="46"/>
      <c r="GF1678" s="46"/>
      <c r="GG1678" s="46"/>
      <c r="GH1678" s="46"/>
      <c r="GI1678" s="46"/>
      <c r="GJ1678" s="46"/>
      <c r="GK1678" s="46"/>
      <c r="GL1678" s="46"/>
      <c r="GM1678" s="46"/>
      <c r="GN1678" s="46"/>
      <c r="GO1678" s="46"/>
      <c r="GP1678" s="46"/>
      <c r="GQ1678" s="46"/>
      <c r="GR1678" s="46"/>
      <c r="GS1678" s="46"/>
      <c r="GT1678" s="46"/>
      <c r="GU1678" s="46"/>
    </row>
    <row r="1679" spans="1:203" s="43" customFormat="1" ht="30" hidden="1" customHeight="1" outlineLevel="1" x14ac:dyDescent="0.35">
      <c r="A1679" s="47"/>
      <c r="B1679" s="48" t="s">
        <v>593</v>
      </c>
      <c r="C1679" s="49" t="s">
        <v>58</v>
      </c>
      <c r="D1679" s="49">
        <v>5</v>
      </c>
      <c r="E1679" s="78"/>
      <c r="F1679" s="42"/>
      <c r="H1679" s="44"/>
      <c r="K1679" s="45"/>
      <c r="L1679" s="45"/>
      <c r="M1679" s="45"/>
      <c r="N1679" s="44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6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  <c r="BP1679" s="46"/>
      <c r="BQ1679" s="46"/>
      <c r="BR1679" s="46"/>
      <c r="BS1679" s="46"/>
      <c r="BT1679" s="46"/>
      <c r="BU1679" s="46"/>
      <c r="BV1679" s="46"/>
      <c r="BW1679" s="46"/>
      <c r="BX1679" s="46"/>
      <c r="BY1679" s="46"/>
      <c r="BZ1679" s="46"/>
      <c r="CA1679" s="46"/>
      <c r="CB1679" s="46"/>
      <c r="CC1679" s="46"/>
      <c r="CD1679" s="46"/>
      <c r="CE1679" s="46"/>
      <c r="CF1679" s="46"/>
      <c r="CG1679" s="46"/>
      <c r="CH1679" s="46"/>
      <c r="CI1679" s="46"/>
      <c r="CJ1679" s="46"/>
      <c r="CK1679" s="46"/>
      <c r="CL1679" s="46"/>
      <c r="CM1679" s="46"/>
      <c r="CN1679" s="46"/>
      <c r="CO1679" s="46"/>
      <c r="CP1679" s="46"/>
      <c r="CQ1679" s="46"/>
      <c r="CR1679" s="46"/>
      <c r="CS1679" s="46"/>
      <c r="CT1679" s="46"/>
      <c r="CU1679" s="46"/>
      <c r="CV1679" s="46"/>
      <c r="CW1679" s="46"/>
      <c r="CX1679" s="46"/>
      <c r="CY1679" s="46"/>
      <c r="CZ1679" s="46"/>
      <c r="DA1679" s="46"/>
      <c r="DB1679" s="46"/>
      <c r="DC1679" s="46"/>
      <c r="DD1679" s="46"/>
      <c r="DE1679" s="46"/>
      <c r="DF1679" s="46"/>
      <c r="DG1679" s="46"/>
      <c r="DH1679" s="46"/>
      <c r="DI1679" s="46"/>
      <c r="DJ1679" s="46"/>
      <c r="DK1679" s="46"/>
      <c r="DL1679" s="46"/>
      <c r="DM1679" s="46"/>
      <c r="DN1679" s="46"/>
      <c r="DO1679" s="46"/>
      <c r="DP1679" s="46"/>
      <c r="DQ1679" s="46"/>
      <c r="DR1679" s="46"/>
      <c r="DS1679" s="46"/>
      <c r="DT1679" s="46"/>
      <c r="DU1679" s="46"/>
      <c r="DV1679" s="46"/>
      <c r="DW1679" s="46"/>
      <c r="DX1679" s="46"/>
      <c r="DY1679" s="46"/>
      <c r="DZ1679" s="46"/>
      <c r="EA1679" s="46"/>
      <c r="EB1679" s="46"/>
      <c r="EC1679" s="46"/>
      <c r="ED1679" s="46"/>
      <c r="EE1679" s="46"/>
      <c r="EF1679" s="46"/>
      <c r="EG1679" s="46"/>
      <c r="EH1679" s="46"/>
      <c r="EI1679" s="46"/>
      <c r="EJ1679" s="46"/>
      <c r="EK1679" s="46"/>
      <c r="EL1679" s="46"/>
      <c r="EM1679" s="46"/>
      <c r="EN1679" s="46"/>
      <c r="EO1679" s="46"/>
      <c r="EP1679" s="46"/>
      <c r="EQ1679" s="46"/>
      <c r="ER1679" s="46"/>
      <c r="ES1679" s="46"/>
      <c r="ET1679" s="46"/>
      <c r="EU1679" s="46"/>
      <c r="EV1679" s="46"/>
      <c r="EW1679" s="46"/>
      <c r="EX1679" s="46"/>
      <c r="EY1679" s="46"/>
      <c r="EZ1679" s="46"/>
      <c r="FA1679" s="46"/>
      <c r="FB1679" s="46"/>
      <c r="FC1679" s="46"/>
      <c r="FD1679" s="46"/>
      <c r="FE1679" s="46"/>
      <c r="FF1679" s="46"/>
      <c r="FG1679" s="46"/>
      <c r="FH1679" s="46"/>
      <c r="FI1679" s="46"/>
      <c r="FJ1679" s="46"/>
      <c r="FK1679" s="46"/>
      <c r="FL1679" s="46"/>
      <c r="FM1679" s="46"/>
      <c r="FN1679" s="46"/>
      <c r="FO1679" s="46"/>
      <c r="FP1679" s="46"/>
      <c r="FQ1679" s="46"/>
      <c r="FR1679" s="46"/>
      <c r="FS1679" s="46"/>
      <c r="FT1679" s="46"/>
      <c r="FU1679" s="46"/>
      <c r="FV1679" s="46"/>
      <c r="FW1679" s="46"/>
      <c r="FX1679" s="46"/>
      <c r="FY1679" s="46"/>
      <c r="FZ1679" s="46"/>
      <c r="GA1679" s="46"/>
      <c r="GB1679" s="46"/>
      <c r="GC1679" s="46"/>
      <c r="GD1679" s="46"/>
      <c r="GE1679" s="46"/>
      <c r="GF1679" s="46"/>
      <c r="GG1679" s="46"/>
      <c r="GH1679" s="46"/>
      <c r="GI1679" s="46"/>
      <c r="GJ1679" s="46"/>
      <c r="GK1679" s="46"/>
      <c r="GL1679" s="46"/>
      <c r="GM1679" s="46"/>
      <c r="GN1679" s="46"/>
      <c r="GO1679" s="46"/>
      <c r="GP1679" s="46"/>
      <c r="GQ1679" s="46"/>
      <c r="GR1679" s="46"/>
      <c r="GS1679" s="46"/>
      <c r="GT1679" s="46"/>
      <c r="GU1679" s="46"/>
    </row>
    <row r="1680" spans="1:203" s="58" customFormat="1" ht="30" customHeight="1" collapsed="1" x14ac:dyDescent="0.4">
      <c r="A1680" s="24">
        <f>A1678+1</f>
        <v>708</v>
      </c>
      <c r="B1680" s="71" t="s">
        <v>315</v>
      </c>
      <c r="C1680" s="40" t="s">
        <v>132</v>
      </c>
      <c r="D1680" s="82">
        <v>4</v>
      </c>
      <c r="E1680" s="66"/>
      <c r="F1680" s="57"/>
    </row>
    <row r="1681" spans="1:28" s="58" customFormat="1" ht="30" hidden="1" customHeight="1" outlineLevel="1" x14ac:dyDescent="0.4">
      <c r="A1681" s="87"/>
      <c r="B1681" s="48" t="s">
        <v>314</v>
      </c>
      <c r="C1681" s="75" t="s">
        <v>14</v>
      </c>
      <c r="D1681" s="65">
        <f>4*1.26/1000</f>
        <v>5.0400000000000002E-3</v>
      </c>
      <c r="E1681" s="88">
        <v>5.0000000000000001E-3</v>
      </c>
      <c r="F1681" s="57"/>
    </row>
    <row r="1682" spans="1:28" s="39" customFormat="1" ht="30" customHeight="1" collapsed="1" x14ac:dyDescent="0.35">
      <c r="A1682" s="153" t="s">
        <v>737</v>
      </c>
      <c r="B1682" s="153"/>
      <c r="C1682" s="153"/>
      <c r="D1682" s="153"/>
      <c r="E1682" s="153"/>
      <c r="F1682" s="34"/>
      <c r="G1682" s="35"/>
      <c r="H1682" s="36"/>
      <c r="I1682" s="37"/>
      <c r="J1682" s="37"/>
      <c r="K1682" s="38"/>
      <c r="L1682" s="38"/>
      <c r="M1682" s="38"/>
      <c r="N1682" s="36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</row>
    <row r="1683" spans="1:28" s="39" customFormat="1" ht="21" customHeight="1" x14ac:dyDescent="0.35">
      <c r="A1683" s="158" t="s">
        <v>738</v>
      </c>
      <c r="B1683" s="158"/>
      <c r="C1683" s="158"/>
      <c r="D1683" s="158"/>
      <c r="E1683" s="158"/>
      <c r="F1683" s="34"/>
      <c r="G1683" s="35"/>
      <c r="H1683" s="36"/>
      <c r="I1683" s="37"/>
      <c r="J1683" s="37"/>
      <c r="K1683" s="38"/>
      <c r="L1683" s="38"/>
      <c r="M1683" s="38"/>
      <c r="N1683" s="36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</row>
    <row r="1684" spans="1:28" s="33" customFormat="1" ht="31" customHeight="1" x14ac:dyDescent="0.35">
      <c r="A1684" s="24">
        <f>A1680+1</f>
        <v>709</v>
      </c>
      <c r="B1684" s="25" t="s">
        <v>600</v>
      </c>
      <c r="C1684" s="26" t="s">
        <v>19</v>
      </c>
      <c r="D1684" s="80">
        <f>11*7*6</f>
        <v>462</v>
      </c>
      <c r="E1684" s="28"/>
      <c r="F1684" s="29"/>
      <c r="G1684" s="30"/>
      <c r="H1684" s="31"/>
      <c r="I1684" s="30"/>
      <c r="J1684" s="30"/>
      <c r="K1684" s="32"/>
      <c r="L1684" s="32"/>
      <c r="M1684" s="32"/>
      <c r="N1684" s="31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</row>
    <row r="1685" spans="1:28" s="39" customFormat="1" ht="36" customHeight="1" x14ac:dyDescent="0.35">
      <c r="A1685" s="24">
        <f>A1684+1</f>
        <v>710</v>
      </c>
      <c r="B1685" s="25" t="s">
        <v>739</v>
      </c>
      <c r="C1685" s="26" t="s">
        <v>19</v>
      </c>
      <c r="D1685" s="40">
        <f>45.5</f>
        <v>45.5</v>
      </c>
      <c r="E1685" s="64"/>
      <c r="F1685" s="34"/>
      <c r="G1685" s="35"/>
      <c r="H1685" s="36"/>
      <c r="I1685" s="37"/>
      <c r="J1685" s="37"/>
      <c r="K1685" s="38"/>
      <c r="L1685" s="38"/>
      <c r="M1685" s="38"/>
      <c r="N1685" s="36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</row>
    <row r="1686" spans="1:28" ht="34.5" hidden="1" customHeight="1" outlineLevel="1" x14ac:dyDescent="0.35">
      <c r="A1686" s="47"/>
      <c r="B1686" s="48" t="s">
        <v>740</v>
      </c>
      <c r="C1686" s="75" t="s">
        <v>19</v>
      </c>
      <c r="D1686" s="50">
        <f>45.5*1.1</f>
        <v>50.050000000000004</v>
      </c>
      <c r="E1686" s="76"/>
      <c r="F1686" s="42"/>
    </row>
    <row r="1687" spans="1:28" ht="33" customHeight="1" collapsed="1" x14ac:dyDescent="0.35">
      <c r="A1687" s="24">
        <f>A1685+1</f>
        <v>711</v>
      </c>
      <c r="B1687" s="25" t="s">
        <v>741</v>
      </c>
      <c r="C1687" s="26" t="s">
        <v>742</v>
      </c>
      <c r="D1687" s="40" t="s">
        <v>743</v>
      </c>
      <c r="E1687" s="41"/>
      <c r="F1687" s="53"/>
    </row>
    <row r="1688" spans="1:28" ht="34.5" hidden="1" customHeight="1" outlineLevel="1" x14ac:dyDescent="0.35">
      <c r="A1688" s="47"/>
      <c r="B1688" s="48" t="s">
        <v>744</v>
      </c>
      <c r="C1688" s="75" t="s">
        <v>58</v>
      </c>
      <c r="D1688" s="75">
        <v>5</v>
      </c>
      <c r="E1688" s="78">
        <v>21</v>
      </c>
      <c r="F1688" s="42"/>
    </row>
    <row r="1689" spans="1:28" ht="31" customHeight="1" collapsed="1" x14ac:dyDescent="0.35">
      <c r="A1689" s="24">
        <f>A1687+1</f>
        <v>712</v>
      </c>
      <c r="B1689" s="25" t="s">
        <v>745</v>
      </c>
      <c r="C1689" s="26" t="s">
        <v>14</v>
      </c>
      <c r="D1689" s="40">
        <v>0.83199999999999996</v>
      </c>
      <c r="E1689" s="41"/>
      <c r="F1689" s="42"/>
    </row>
    <row r="1690" spans="1:28" ht="31" hidden="1" customHeight="1" outlineLevel="1" x14ac:dyDescent="0.35">
      <c r="A1690" s="47"/>
      <c r="B1690" s="48" t="s">
        <v>185</v>
      </c>
      <c r="C1690" s="49" t="s">
        <v>14</v>
      </c>
      <c r="D1690" s="65">
        <f>(153.64+281.89+79.1+9.68+24)/1000</f>
        <v>0.54830999999999996</v>
      </c>
      <c r="E1690" s="51">
        <f>(153.64+281.89+79.1+9.68+24)/1000</f>
        <v>0.54830999999999996</v>
      </c>
      <c r="F1690" s="42"/>
    </row>
    <row r="1691" spans="1:28" ht="31" hidden="1" customHeight="1" outlineLevel="1" x14ac:dyDescent="0.35">
      <c r="A1691" s="47"/>
      <c r="B1691" s="48" t="s">
        <v>746</v>
      </c>
      <c r="C1691" s="49" t="s">
        <v>14</v>
      </c>
      <c r="D1691" s="65">
        <f>42.88/1000</f>
        <v>4.2880000000000001E-2</v>
      </c>
      <c r="E1691" s="51">
        <f>42.88/1000</f>
        <v>4.2880000000000001E-2</v>
      </c>
      <c r="F1691" s="42"/>
    </row>
    <row r="1692" spans="1:28" ht="31" hidden="1" customHeight="1" outlineLevel="1" x14ac:dyDescent="0.35">
      <c r="A1692" s="47"/>
      <c r="B1692" s="48" t="s">
        <v>747</v>
      </c>
      <c r="C1692" s="49" t="s">
        <v>14</v>
      </c>
      <c r="D1692" s="65">
        <f>241.28/1000</f>
        <v>0.24127999999999999</v>
      </c>
      <c r="E1692" s="51">
        <f>241.28/1000</f>
        <v>0.24127999999999999</v>
      </c>
      <c r="F1692" s="42"/>
    </row>
    <row r="1693" spans="1:28" ht="31" hidden="1" customHeight="1" outlineLevel="1" x14ac:dyDescent="0.35">
      <c r="A1693" s="47"/>
      <c r="B1693" s="48" t="s">
        <v>748</v>
      </c>
      <c r="C1693" s="49" t="s">
        <v>58</v>
      </c>
      <c r="D1693" s="55">
        <v>14</v>
      </c>
      <c r="E1693" s="51"/>
      <c r="F1693" s="42"/>
    </row>
    <row r="1694" spans="1:28" ht="31" hidden="1" customHeight="1" outlineLevel="1" x14ac:dyDescent="0.35">
      <c r="A1694" s="47"/>
      <c r="B1694" s="48" t="s">
        <v>749</v>
      </c>
      <c r="C1694" s="49" t="s">
        <v>58</v>
      </c>
      <c r="D1694" s="55">
        <v>56</v>
      </c>
      <c r="E1694" s="51"/>
      <c r="F1694" s="42"/>
    </row>
    <row r="1695" spans="1:28" ht="31" hidden="1" customHeight="1" outlineLevel="1" x14ac:dyDescent="0.35">
      <c r="A1695" s="47"/>
      <c r="B1695" s="48" t="s">
        <v>750</v>
      </c>
      <c r="C1695" s="49" t="s">
        <v>58</v>
      </c>
      <c r="D1695" s="55">
        <v>28</v>
      </c>
      <c r="E1695" s="51"/>
      <c r="F1695" s="42"/>
    </row>
    <row r="1696" spans="1:28" s="39" customFormat="1" ht="36" customHeight="1" collapsed="1" x14ac:dyDescent="0.35">
      <c r="A1696" s="24">
        <f>A1689+1</f>
        <v>713</v>
      </c>
      <c r="B1696" s="25" t="s">
        <v>751</v>
      </c>
      <c r="C1696" s="26" t="s">
        <v>58</v>
      </c>
      <c r="D1696" s="40">
        <v>56</v>
      </c>
      <c r="E1696" s="64"/>
      <c r="F1696" s="34"/>
      <c r="G1696" s="35"/>
      <c r="H1696" s="36"/>
      <c r="I1696" s="37"/>
      <c r="J1696" s="37"/>
      <c r="K1696" s="38"/>
      <c r="L1696" s="38"/>
      <c r="M1696" s="38"/>
      <c r="N1696" s="36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</row>
    <row r="1697" spans="1:28" ht="33" customHeight="1" x14ac:dyDescent="0.35">
      <c r="A1697" s="24">
        <f>A1696+1</f>
        <v>714</v>
      </c>
      <c r="B1697" s="25" t="s">
        <v>752</v>
      </c>
      <c r="C1697" s="26" t="s">
        <v>67</v>
      </c>
      <c r="D1697" s="40" t="s">
        <v>753</v>
      </c>
      <c r="E1697" s="41"/>
      <c r="F1697" s="53"/>
    </row>
    <row r="1698" spans="1:28" ht="34.5" hidden="1" customHeight="1" outlineLevel="1" x14ac:dyDescent="0.35">
      <c r="A1698" s="47"/>
      <c r="B1698" s="48" t="s">
        <v>754</v>
      </c>
      <c r="C1698" s="75" t="s">
        <v>58</v>
      </c>
      <c r="D1698" s="75">
        <v>56</v>
      </c>
      <c r="E1698" s="76"/>
      <c r="F1698" s="42"/>
    </row>
    <row r="1699" spans="1:28" ht="31" customHeight="1" collapsed="1" x14ac:dyDescent="0.35">
      <c r="A1699" s="24">
        <f>A1697+1</f>
        <v>715</v>
      </c>
      <c r="B1699" s="25" t="s">
        <v>755</v>
      </c>
      <c r="C1699" s="89" t="s">
        <v>29</v>
      </c>
      <c r="D1699" s="80">
        <f>((6*2*5)+(0.832*26))</f>
        <v>81.632000000000005</v>
      </c>
      <c r="E1699" s="41"/>
      <c r="F1699" s="42"/>
    </row>
    <row r="1700" spans="1:28" ht="30" hidden="1" customHeight="1" outlineLevel="1" x14ac:dyDescent="0.35">
      <c r="A1700" s="47"/>
      <c r="B1700" s="48" t="s">
        <v>756</v>
      </c>
      <c r="C1700" s="49" t="s">
        <v>74</v>
      </c>
      <c r="D1700" s="68">
        <f>D1699*2</f>
        <v>163.26400000000001</v>
      </c>
      <c r="E1700" s="78"/>
      <c r="F1700" s="42"/>
    </row>
    <row r="1701" spans="1:28" ht="30.9" collapsed="1" x14ac:dyDescent="0.35">
      <c r="A1701" s="24">
        <f>A1699+1</f>
        <v>716</v>
      </c>
      <c r="B1701" s="25" t="s">
        <v>757</v>
      </c>
      <c r="C1701" s="26" t="s">
        <v>19</v>
      </c>
      <c r="D1701" s="73">
        <v>442</v>
      </c>
      <c r="E1701" s="41"/>
      <c r="F1701" s="42"/>
    </row>
    <row r="1702" spans="1:28" ht="36" customHeight="1" x14ac:dyDescent="0.35">
      <c r="A1702" s="24">
        <f>A1701+1</f>
        <v>717</v>
      </c>
      <c r="B1702" s="59" t="s">
        <v>758</v>
      </c>
      <c r="C1702" s="26" t="s">
        <v>29</v>
      </c>
      <c r="D1702" s="67">
        <v>61.6</v>
      </c>
      <c r="E1702" s="41"/>
      <c r="F1702" s="42"/>
    </row>
    <row r="1703" spans="1:28" ht="30" customHeight="1" x14ac:dyDescent="0.35">
      <c r="A1703" s="24">
        <f>A1702+1</f>
        <v>718</v>
      </c>
      <c r="B1703" s="25" t="s">
        <v>131</v>
      </c>
      <c r="C1703" s="26" t="s">
        <v>132</v>
      </c>
      <c r="D1703" s="73">
        <v>28</v>
      </c>
      <c r="E1703" s="41"/>
      <c r="F1703" s="42"/>
    </row>
    <row r="1704" spans="1:28" ht="31" hidden="1" customHeight="1" outlineLevel="1" x14ac:dyDescent="0.35">
      <c r="A1704" s="47"/>
      <c r="B1704" s="48" t="s">
        <v>133</v>
      </c>
      <c r="C1704" s="49" t="s">
        <v>58</v>
      </c>
      <c r="D1704" s="55">
        <v>28</v>
      </c>
      <c r="E1704" s="109">
        <v>2.8</v>
      </c>
      <c r="F1704" s="42"/>
    </row>
    <row r="1705" spans="1:28" ht="31" hidden="1" customHeight="1" outlineLevel="1" x14ac:dyDescent="0.35">
      <c r="A1705" s="74"/>
      <c r="B1705" s="48" t="s">
        <v>134</v>
      </c>
      <c r="C1705" s="49" t="s">
        <v>19</v>
      </c>
      <c r="D1705" s="81">
        <f>1.9</f>
        <v>1.9</v>
      </c>
      <c r="E1705" s="69"/>
      <c r="F1705" s="42"/>
    </row>
    <row r="1706" spans="1:28" ht="30" customHeight="1" collapsed="1" x14ac:dyDescent="0.35">
      <c r="A1706" s="24">
        <f>A1703+1</f>
        <v>719</v>
      </c>
      <c r="B1706" s="25" t="s">
        <v>135</v>
      </c>
      <c r="C1706" s="26" t="s">
        <v>19</v>
      </c>
      <c r="D1706" s="110">
        <v>8.61</v>
      </c>
      <c r="E1706" s="41"/>
      <c r="F1706" s="42"/>
    </row>
    <row r="1707" spans="1:28" ht="31" hidden="1" customHeight="1" outlineLevel="1" x14ac:dyDescent="0.35">
      <c r="A1707" s="47"/>
      <c r="B1707" s="48" t="s">
        <v>52</v>
      </c>
      <c r="C1707" s="49" t="s">
        <v>19</v>
      </c>
      <c r="D1707" s="68">
        <f>8.61</f>
        <v>8.61</v>
      </c>
      <c r="E1707" s="51"/>
      <c r="F1707" s="42"/>
    </row>
    <row r="1708" spans="1:28" s="39" customFormat="1" ht="21" customHeight="1" collapsed="1" x14ac:dyDescent="0.35">
      <c r="A1708" s="154" t="s">
        <v>759</v>
      </c>
      <c r="B1708" s="154"/>
      <c r="C1708" s="154"/>
      <c r="D1708" s="154"/>
      <c r="E1708" s="154"/>
      <c r="F1708" s="34"/>
      <c r="G1708" s="35"/>
      <c r="H1708" s="36"/>
      <c r="I1708" s="37"/>
      <c r="J1708" s="37"/>
      <c r="K1708" s="38"/>
      <c r="L1708" s="38"/>
      <c r="M1708" s="38"/>
      <c r="N1708" s="36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</row>
    <row r="1709" spans="1:28" s="39" customFormat="1" ht="36" customHeight="1" x14ac:dyDescent="0.35">
      <c r="A1709" s="24">
        <f>A1706+1</f>
        <v>720</v>
      </c>
      <c r="B1709" s="25" t="s">
        <v>136</v>
      </c>
      <c r="C1709" s="26" t="s">
        <v>19</v>
      </c>
      <c r="D1709" s="40">
        <f>0.07</f>
        <v>7.0000000000000007E-2</v>
      </c>
      <c r="E1709" s="64"/>
      <c r="F1709" s="34"/>
      <c r="G1709" s="35"/>
      <c r="H1709" s="36"/>
      <c r="I1709" s="37"/>
      <c r="J1709" s="37"/>
      <c r="K1709" s="38"/>
      <c r="L1709" s="38"/>
      <c r="M1709" s="38"/>
      <c r="N1709" s="36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</row>
    <row r="1710" spans="1:28" ht="34.5" hidden="1" customHeight="1" outlineLevel="1" x14ac:dyDescent="0.35">
      <c r="A1710" s="47"/>
      <c r="B1710" s="48" t="s">
        <v>134</v>
      </c>
      <c r="C1710" s="75" t="s">
        <v>19</v>
      </c>
      <c r="D1710" s="63">
        <f>0.07</f>
        <v>7.0000000000000007E-2</v>
      </c>
      <c r="E1710" s="76"/>
      <c r="F1710" s="42"/>
    </row>
    <row r="1711" spans="1:28" ht="33" customHeight="1" collapsed="1" x14ac:dyDescent="0.35">
      <c r="A1711" s="24">
        <f>A1709+1</f>
        <v>721</v>
      </c>
      <c r="B1711" s="25" t="s">
        <v>64</v>
      </c>
      <c r="C1711" s="26" t="s">
        <v>19</v>
      </c>
      <c r="D1711" s="40">
        <v>0.37</v>
      </c>
      <c r="E1711" s="41"/>
      <c r="F1711" s="53"/>
    </row>
    <row r="1712" spans="1:28" ht="34.5" hidden="1" customHeight="1" outlineLevel="1" x14ac:dyDescent="0.35">
      <c r="A1712" s="47"/>
      <c r="B1712" s="48" t="s">
        <v>137</v>
      </c>
      <c r="C1712" s="75" t="s">
        <v>14</v>
      </c>
      <c r="D1712" s="77">
        <f>3.91*1/1000</f>
        <v>3.9100000000000003E-3</v>
      </c>
      <c r="E1712" s="78"/>
      <c r="F1712" s="42"/>
    </row>
    <row r="1713" spans="1:28" s="58" customFormat="1" ht="30" hidden="1" customHeight="1" outlineLevel="1" x14ac:dyDescent="0.4">
      <c r="A1713" s="54"/>
      <c r="B1713" s="48" t="s">
        <v>65</v>
      </c>
      <c r="C1713" s="49" t="s">
        <v>19</v>
      </c>
      <c r="D1713" s="63">
        <f>0.37</f>
        <v>0.37</v>
      </c>
      <c r="E1713" s="51"/>
      <c r="F1713" s="57"/>
    </row>
    <row r="1714" spans="1:28" s="58" customFormat="1" ht="30" customHeight="1" collapsed="1" x14ac:dyDescent="0.4">
      <c r="A1714" s="24">
        <f>A1711+1</f>
        <v>722</v>
      </c>
      <c r="B1714" s="59" t="s">
        <v>138</v>
      </c>
      <c r="C1714" s="70" t="s">
        <v>67</v>
      </c>
      <c r="D1714" s="40" t="s">
        <v>139</v>
      </c>
      <c r="E1714" s="66"/>
      <c r="F1714" s="57"/>
    </row>
    <row r="1715" spans="1:28" s="58" customFormat="1" ht="30" hidden="1" customHeight="1" outlineLevel="1" x14ac:dyDescent="0.4">
      <c r="A1715" s="54"/>
      <c r="B1715" s="48" t="s">
        <v>140</v>
      </c>
      <c r="C1715" s="49" t="s">
        <v>58</v>
      </c>
      <c r="D1715" s="55">
        <v>1</v>
      </c>
      <c r="E1715" s="51"/>
      <c r="F1715" s="57"/>
    </row>
    <row r="1716" spans="1:28" s="39" customFormat="1" ht="36" customHeight="1" collapsed="1" x14ac:dyDescent="0.35">
      <c r="A1716" s="24">
        <f>A1714+1</f>
        <v>723</v>
      </c>
      <c r="B1716" s="25" t="s">
        <v>66</v>
      </c>
      <c r="C1716" s="26" t="s">
        <v>67</v>
      </c>
      <c r="D1716" s="40" t="s">
        <v>760</v>
      </c>
      <c r="E1716" s="64"/>
      <c r="F1716" s="34"/>
      <c r="G1716" s="35"/>
      <c r="H1716" s="36"/>
      <c r="I1716" s="37"/>
      <c r="J1716" s="37"/>
      <c r="K1716" s="38"/>
      <c r="L1716" s="38"/>
      <c r="M1716" s="38"/>
      <c r="N1716" s="36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</row>
    <row r="1717" spans="1:28" s="58" customFormat="1" ht="30" hidden="1" customHeight="1" outlineLevel="1" x14ac:dyDescent="0.4">
      <c r="A1717" s="54"/>
      <c r="B1717" s="48" t="s">
        <v>613</v>
      </c>
      <c r="C1717" s="49" t="s">
        <v>14</v>
      </c>
      <c r="D1717" s="65">
        <f>20.03*1/1000*1.0012</f>
        <v>2.0054036000000004E-2</v>
      </c>
      <c r="E1717" s="51"/>
      <c r="F1717" s="57"/>
    </row>
    <row r="1718" spans="1:28" s="58" customFormat="1" ht="30" hidden="1" customHeight="1" outlineLevel="1" x14ac:dyDescent="0.4">
      <c r="A1718" s="54"/>
      <c r="B1718" s="48" t="s">
        <v>185</v>
      </c>
      <c r="C1718" s="49" t="s">
        <v>14</v>
      </c>
      <c r="D1718" s="65">
        <f>(2.52+5.66)*1/1000</f>
        <v>8.1799999999999998E-3</v>
      </c>
      <c r="E1718" s="51"/>
      <c r="F1718" s="57"/>
    </row>
    <row r="1719" spans="1:28" s="58" customFormat="1" ht="30" customHeight="1" collapsed="1" x14ac:dyDescent="0.4">
      <c r="A1719" s="24">
        <f>A1716+1</f>
        <v>724</v>
      </c>
      <c r="B1719" s="59" t="s">
        <v>71</v>
      </c>
      <c r="C1719" s="26" t="s">
        <v>67</v>
      </c>
      <c r="D1719" s="40" t="s">
        <v>760</v>
      </c>
      <c r="E1719" s="66"/>
      <c r="F1719" s="57"/>
    </row>
    <row r="1720" spans="1:28" ht="36" customHeight="1" x14ac:dyDescent="0.35">
      <c r="A1720" s="24">
        <f>A1719+1</f>
        <v>725</v>
      </c>
      <c r="B1720" s="59" t="s">
        <v>72</v>
      </c>
      <c r="C1720" s="26" t="s">
        <v>29</v>
      </c>
      <c r="D1720" s="67">
        <f>((0.089*0.56*3.14)+(0.3*0.3*2))*2</f>
        <v>0.67299520000000002</v>
      </c>
      <c r="E1720" s="41"/>
      <c r="F1720" s="42"/>
    </row>
    <row r="1721" spans="1:28" s="58" customFormat="1" ht="30" hidden="1" customHeight="1" outlineLevel="1" x14ac:dyDescent="0.4">
      <c r="A1721" s="54"/>
      <c r="B1721" s="48" t="s">
        <v>73</v>
      </c>
      <c r="C1721" s="49" t="s">
        <v>74</v>
      </c>
      <c r="D1721" s="68">
        <f>3.31*D1720</f>
        <v>2.2276141119999999</v>
      </c>
      <c r="E1721" s="69">
        <v>2E-3</v>
      </c>
      <c r="F1721" s="57"/>
    </row>
    <row r="1722" spans="1:28" ht="36" customHeight="1" collapsed="1" x14ac:dyDescent="0.35">
      <c r="A1722" s="24">
        <f>A1720+1</f>
        <v>726</v>
      </c>
      <c r="B1722" s="59" t="s">
        <v>75</v>
      </c>
      <c r="C1722" s="26" t="s">
        <v>29</v>
      </c>
      <c r="D1722" s="67">
        <f>((0.089*0.56*3.14)+(0.3*0.3*2))*2</f>
        <v>0.67299520000000002</v>
      </c>
      <c r="E1722" s="41"/>
      <c r="F1722" s="42"/>
    </row>
    <row r="1723" spans="1:28" ht="36" customHeight="1" x14ac:dyDescent="0.35">
      <c r="A1723" s="24">
        <f>A1722+1</f>
        <v>727</v>
      </c>
      <c r="B1723" s="59" t="s">
        <v>76</v>
      </c>
      <c r="C1723" s="26" t="s">
        <v>29</v>
      </c>
      <c r="D1723" s="67">
        <f>((0.089*0.56*3.14)+(0.3*0.3*2))*2</f>
        <v>0.67299520000000002</v>
      </c>
      <c r="E1723" s="41"/>
      <c r="F1723" s="42"/>
    </row>
    <row r="1724" spans="1:28" s="58" customFormat="1" ht="30" customHeight="1" x14ac:dyDescent="0.4">
      <c r="A1724" s="24">
        <f>A1723+1</f>
        <v>728</v>
      </c>
      <c r="B1724" s="59" t="s">
        <v>77</v>
      </c>
      <c r="C1724" s="70" t="s">
        <v>29</v>
      </c>
      <c r="D1724" s="67">
        <f>((0.089*0.56*3.14)+(0.3*0.3*2))*2</f>
        <v>0.67299520000000002</v>
      </c>
      <c r="E1724" s="66"/>
      <c r="F1724" s="57"/>
    </row>
    <row r="1725" spans="1:28" s="58" customFormat="1" ht="30" hidden="1" customHeight="1" outlineLevel="1" x14ac:dyDescent="0.4">
      <c r="A1725" s="54"/>
      <c r="B1725" s="48" t="s">
        <v>78</v>
      </c>
      <c r="C1725" s="49" t="s">
        <v>74</v>
      </c>
      <c r="D1725" s="68">
        <f>D1724*0.255</f>
        <v>0.171613776</v>
      </c>
      <c r="E1725" s="69">
        <v>1E-3</v>
      </c>
      <c r="F1725" s="57"/>
    </row>
    <row r="1726" spans="1:28" s="58" customFormat="1" ht="30" customHeight="1" collapsed="1" x14ac:dyDescent="0.4">
      <c r="A1726" s="24">
        <f>A1724+1</f>
        <v>729</v>
      </c>
      <c r="B1726" s="59" t="s">
        <v>79</v>
      </c>
      <c r="C1726" s="70" t="s">
        <v>29</v>
      </c>
      <c r="D1726" s="67">
        <f>((0.089*0.56*3.14)+(0.3*0.3*2))*2</f>
        <v>0.67299520000000002</v>
      </c>
      <c r="E1726" s="66"/>
      <c r="F1726" s="57"/>
    </row>
    <row r="1727" spans="1:28" s="58" customFormat="1" ht="30" hidden="1" customHeight="1" outlineLevel="1" x14ac:dyDescent="0.4">
      <c r="A1727" s="54"/>
      <c r="B1727" s="48" t="s">
        <v>80</v>
      </c>
      <c r="C1727" s="49" t="s">
        <v>74</v>
      </c>
      <c r="D1727" s="68">
        <f>D1726*0.36*2</f>
        <v>0.48455654399999998</v>
      </c>
      <c r="E1727" s="69"/>
      <c r="F1727" s="57"/>
    </row>
    <row r="1728" spans="1:28" s="39" customFormat="1" ht="21" customHeight="1" collapsed="1" x14ac:dyDescent="0.35">
      <c r="A1728" s="154" t="s">
        <v>60</v>
      </c>
      <c r="B1728" s="154"/>
      <c r="C1728" s="154"/>
      <c r="D1728" s="154"/>
      <c r="E1728" s="154"/>
      <c r="F1728" s="34"/>
      <c r="G1728" s="35"/>
      <c r="H1728" s="36"/>
      <c r="I1728" s="37"/>
      <c r="J1728" s="37"/>
      <c r="K1728" s="38"/>
      <c r="L1728" s="38"/>
      <c r="M1728" s="38"/>
      <c r="N1728" s="36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</row>
    <row r="1729" spans="1:28" s="39" customFormat="1" ht="36" customHeight="1" x14ac:dyDescent="0.35">
      <c r="A1729" s="24">
        <f>A1726+1</f>
        <v>730</v>
      </c>
      <c r="B1729" s="25" t="s">
        <v>136</v>
      </c>
      <c r="C1729" s="26" t="s">
        <v>19</v>
      </c>
      <c r="D1729" s="40">
        <v>7.0000000000000007E-2</v>
      </c>
      <c r="E1729" s="64"/>
      <c r="F1729" s="34"/>
      <c r="G1729" s="35"/>
      <c r="H1729" s="36"/>
      <c r="I1729" s="37"/>
      <c r="J1729" s="37"/>
      <c r="K1729" s="38"/>
      <c r="L1729" s="38"/>
      <c r="M1729" s="38"/>
      <c r="N1729" s="36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</row>
    <row r="1730" spans="1:28" ht="34.5" hidden="1" customHeight="1" outlineLevel="1" x14ac:dyDescent="0.35">
      <c r="A1730" s="47"/>
      <c r="B1730" s="48" t="s">
        <v>134</v>
      </c>
      <c r="C1730" s="75" t="s">
        <v>19</v>
      </c>
      <c r="D1730" s="75">
        <v>7.0000000000000007E-2</v>
      </c>
      <c r="E1730" s="76"/>
      <c r="F1730" s="42"/>
    </row>
    <row r="1731" spans="1:28" ht="33" customHeight="1" collapsed="1" x14ac:dyDescent="0.35">
      <c r="A1731" s="24">
        <f>A1729+1</f>
        <v>731</v>
      </c>
      <c r="B1731" s="25" t="s">
        <v>64</v>
      </c>
      <c r="C1731" s="26" t="s">
        <v>19</v>
      </c>
      <c r="D1731" s="40">
        <v>0.37</v>
      </c>
      <c r="E1731" s="41"/>
      <c r="F1731" s="53"/>
    </row>
    <row r="1732" spans="1:28" ht="34.5" hidden="1" customHeight="1" outlineLevel="1" x14ac:dyDescent="0.35">
      <c r="A1732" s="47"/>
      <c r="B1732" s="48" t="s">
        <v>137</v>
      </c>
      <c r="C1732" s="75" t="s">
        <v>14</v>
      </c>
      <c r="D1732" s="77">
        <f>3.91*1/1000*1.1</f>
        <v>4.301000000000001E-3</v>
      </c>
      <c r="E1732" s="78"/>
      <c r="F1732" s="42"/>
    </row>
    <row r="1733" spans="1:28" s="58" customFormat="1" ht="30" hidden="1" customHeight="1" outlineLevel="1" x14ac:dyDescent="0.4">
      <c r="A1733" s="54"/>
      <c r="B1733" s="48" t="s">
        <v>65</v>
      </c>
      <c r="C1733" s="49" t="s">
        <v>19</v>
      </c>
      <c r="D1733" s="75">
        <v>0.37</v>
      </c>
      <c r="E1733" s="51"/>
      <c r="F1733" s="57"/>
    </row>
    <row r="1734" spans="1:28" s="58" customFormat="1" ht="30" customHeight="1" collapsed="1" x14ac:dyDescent="0.4">
      <c r="A1734" s="24">
        <f>A1731+1</f>
        <v>732</v>
      </c>
      <c r="B1734" s="59" t="s">
        <v>138</v>
      </c>
      <c r="C1734" s="70" t="s">
        <v>67</v>
      </c>
      <c r="D1734" s="40" t="s">
        <v>139</v>
      </c>
      <c r="E1734" s="66"/>
      <c r="F1734" s="57"/>
    </row>
    <row r="1735" spans="1:28" s="58" customFormat="1" ht="30" hidden="1" customHeight="1" outlineLevel="1" x14ac:dyDescent="0.4">
      <c r="A1735" s="54"/>
      <c r="B1735" s="48" t="s">
        <v>140</v>
      </c>
      <c r="C1735" s="49" t="s">
        <v>58</v>
      </c>
      <c r="D1735" s="55">
        <v>1</v>
      </c>
      <c r="E1735" s="51"/>
      <c r="F1735" s="57"/>
    </row>
    <row r="1736" spans="1:28" s="39" customFormat="1" ht="36" customHeight="1" collapsed="1" x14ac:dyDescent="0.35">
      <c r="A1736" s="24">
        <f>A1734+1</f>
        <v>733</v>
      </c>
      <c r="B1736" s="25" t="s">
        <v>66</v>
      </c>
      <c r="C1736" s="26" t="s">
        <v>67</v>
      </c>
      <c r="D1736" s="40" t="s">
        <v>141</v>
      </c>
      <c r="E1736" s="64"/>
      <c r="F1736" s="34"/>
      <c r="G1736" s="35"/>
      <c r="H1736" s="36"/>
      <c r="I1736" s="37"/>
      <c r="J1736" s="37"/>
      <c r="K1736" s="38"/>
      <c r="L1736" s="38"/>
      <c r="M1736" s="38"/>
      <c r="N1736" s="36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</row>
    <row r="1737" spans="1:28" s="58" customFormat="1" ht="30" hidden="1" customHeight="1" outlineLevel="1" x14ac:dyDescent="0.4">
      <c r="A1737" s="54"/>
      <c r="B1737" s="48" t="s">
        <v>142</v>
      </c>
      <c r="C1737" s="49" t="s">
        <v>14</v>
      </c>
      <c r="D1737" s="65">
        <f>(3.95+3.95+34.27)/1000</f>
        <v>4.2169999999999999E-2</v>
      </c>
      <c r="E1737" s="51"/>
      <c r="F1737" s="57"/>
    </row>
    <row r="1738" spans="1:28" s="58" customFormat="1" ht="30" customHeight="1" collapsed="1" x14ac:dyDescent="0.4">
      <c r="A1738" s="24">
        <f>A1736+1</f>
        <v>734</v>
      </c>
      <c r="B1738" s="59" t="s">
        <v>71</v>
      </c>
      <c r="C1738" s="26" t="s">
        <v>67</v>
      </c>
      <c r="D1738" s="40" t="s">
        <v>141</v>
      </c>
      <c r="E1738" s="66"/>
      <c r="F1738" s="57"/>
    </row>
    <row r="1739" spans="1:28" ht="36" customHeight="1" x14ac:dyDescent="0.35">
      <c r="A1739" s="24">
        <f>A1738+1</f>
        <v>735</v>
      </c>
      <c r="B1739" s="59" t="s">
        <v>72</v>
      </c>
      <c r="C1739" s="26" t="s">
        <v>29</v>
      </c>
      <c r="D1739" s="67">
        <f>((0.09*2*2)+(0.09*0.41*2))</f>
        <v>0.43379999999999996</v>
      </c>
      <c r="E1739" s="41"/>
      <c r="F1739" s="42"/>
    </row>
    <row r="1740" spans="1:28" s="58" customFormat="1" ht="30" hidden="1" customHeight="1" outlineLevel="1" x14ac:dyDescent="0.4">
      <c r="A1740" s="54"/>
      <c r="B1740" s="48" t="s">
        <v>73</v>
      </c>
      <c r="C1740" s="49" t="s">
        <v>74</v>
      </c>
      <c r="D1740" s="68">
        <f>3.31*D1739</f>
        <v>1.435878</v>
      </c>
      <c r="E1740" s="69">
        <v>1E-3</v>
      </c>
      <c r="F1740" s="57"/>
    </row>
    <row r="1741" spans="1:28" ht="36" customHeight="1" collapsed="1" x14ac:dyDescent="0.35">
      <c r="A1741" s="24">
        <f>A1739+1</f>
        <v>736</v>
      </c>
      <c r="B1741" s="59" t="s">
        <v>75</v>
      </c>
      <c r="C1741" s="26" t="s">
        <v>29</v>
      </c>
      <c r="D1741" s="67">
        <f>((0.09*2*2)+(0.09*0.41*2))</f>
        <v>0.43379999999999996</v>
      </c>
      <c r="E1741" s="41"/>
      <c r="F1741" s="42"/>
    </row>
    <row r="1742" spans="1:28" ht="36" customHeight="1" x14ac:dyDescent="0.35">
      <c r="A1742" s="24">
        <f>A1741+1</f>
        <v>737</v>
      </c>
      <c r="B1742" s="59" t="s">
        <v>76</v>
      </c>
      <c r="C1742" s="26" t="s">
        <v>29</v>
      </c>
      <c r="D1742" s="67">
        <f>((0.09*2*2)+(0.09*0.41*2))</f>
        <v>0.43379999999999996</v>
      </c>
      <c r="E1742" s="41"/>
      <c r="F1742" s="42"/>
    </row>
    <row r="1743" spans="1:28" s="58" customFormat="1" ht="30" customHeight="1" x14ac:dyDescent="0.4">
      <c r="A1743" s="24">
        <f>A1742+1</f>
        <v>738</v>
      </c>
      <c r="B1743" s="59" t="s">
        <v>77</v>
      </c>
      <c r="C1743" s="70" t="s">
        <v>29</v>
      </c>
      <c r="D1743" s="67">
        <f>((0.09*2*2)+(0.09*0.41*2))</f>
        <v>0.43379999999999996</v>
      </c>
      <c r="E1743" s="66"/>
      <c r="F1743" s="57"/>
    </row>
    <row r="1744" spans="1:28" s="58" customFormat="1" ht="30" hidden="1" customHeight="1" outlineLevel="1" x14ac:dyDescent="0.4">
      <c r="A1744" s="54"/>
      <c r="B1744" s="48" t="s">
        <v>78</v>
      </c>
      <c r="C1744" s="49" t="s">
        <v>74</v>
      </c>
      <c r="D1744" s="68">
        <f>D1743*0.255</f>
        <v>0.110619</v>
      </c>
      <c r="E1744" s="69">
        <v>1E-3</v>
      </c>
      <c r="F1744" s="57"/>
    </row>
    <row r="1745" spans="1:28" s="58" customFormat="1" ht="30" customHeight="1" collapsed="1" x14ac:dyDescent="0.4">
      <c r="A1745" s="24">
        <f>A1743+1</f>
        <v>739</v>
      </c>
      <c r="B1745" s="59" t="s">
        <v>79</v>
      </c>
      <c r="C1745" s="70" t="s">
        <v>29</v>
      </c>
      <c r="D1745" s="67">
        <f>((0.09*2*2)+(0.09*0.41*2))</f>
        <v>0.43379999999999996</v>
      </c>
      <c r="E1745" s="66"/>
      <c r="F1745" s="57"/>
    </row>
    <row r="1746" spans="1:28" s="58" customFormat="1" ht="30" hidden="1" customHeight="1" outlineLevel="1" x14ac:dyDescent="0.4">
      <c r="A1746" s="54"/>
      <c r="B1746" s="48" t="s">
        <v>80</v>
      </c>
      <c r="C1746" s="49" t="s">
        <v>74</v>
      </c>
      <c r="D1746" s="68">
        <f>D1745*0.36*2</f>
        <v>0.31233599999999995</v>
      </c>
      <c r="E1746" s="69"/>
      <c r="F1746" s="57"/>
    </row>
    <row r="1747" spans="1:28" s="39" customFormat="1" ht="21" customHeight="1" collapsed="1" x14ac:dyDescent="0.35">
      <c r="A1747" s="158" t="s">
        <v>761</v>
      </c>
      <c r="B1747" s="158"/>
      <c r="C1747" s="158"/>
      <c r="D1747" s="158"/>
      <c r="E1747" s="158"/>
      <c r="F1747" s="34"/>
      <c r="G1747" s="35"/>
      <c r="H1747" s="36"/>
      <c r="I1747" s="37"/>
      <c r="J1747" s="37"/>
      <c r="K1747" s="38"/>
      <c r="L1747" s="38"/>
      <c r="M1747" s="38"/>
      <c r="N1747" s="36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</row>
    <row r="1748" spans="1:28" s="58" customFormat="1" ht="30" customHeight="1" x14ac:dyDescent="0.4">
      <c r="A1748" s="72">
        <f>A1745+1</f>
        <v>740</v>
      </c>
      <c r="B1748" s="25" t="s">
        <v>308</v>
      </c>
      <c r="C1748" s="89" t="s">
        <v>19</v>
      </c>
      <c r="D1748" s="105">
        <f>0.7*0.5*34</f>
        <v>11.899999999999999</v>
      </c>
      <c r="E1748" s="91"/>
      <c r="F1748" s="57"/>
    </row>
    <row r="1749" spans="1:28" s="58" customFormat="1" ht="30" customHeight="1" x14ac:dyDescent="0.4">
      <c r="A1749" s="72">
        <f>A1748+1</f>
        <v>741</v>
      </c>
      <c r="B1749" s="25" t="s">
        <v>309</v>
      </c>
      <c r="C1749" s="89" t="s">
        <v>19</v>
      </c>
      <c r="D1749" s="105">
        <f>0.7*0.5*34</f>
        <v>11.899999999999999</v>
      </c>
      <c r="E1749" s="91"/>
      <c r="F1749" s="57"/>
    </row>
    <row r="1750" spans="1:28" s="58" customFormat="1" ht="30" customHeight="1" x14ac:dyDescent="0.4">
      <c r="A1750" s="24">
        <f>A1749+1</f>
        <v>742</v>
      </c>
      <c r="B1750" s="25" t="s">
        <v>310</v>
      </c>
      <c r="C1750" s="89" t="s">
        <v>19</v>
      </c>
      <c r="D1750" s="105">
        <f>0.7*0.5*34</f>
        <v>11.899999999999999</v>
      </c>
      <c r="E1750" s="91"/>
      <c r="F1750" s="57"/>
    </row>
    <row r="1751" spans="1:28" s="58" customFormat="1" ht="30" customHeight="1" x14ac:dyDescent="0.4">
      <c r="A1751" s="24">
        <f>A1750+1</f>
        <v>743</v>
      </c>
      <c r="B1751" s="59" t="s">
        <v>403</v>
      </c>
      <c r="C1751" s="70" t="s">
        <v>132</v>
      </c>
      <c r="D1751" s="40">
        <v>34</v>
      </c>
      <c r="E1751" s="66"/>
      <c r="F1751" s="57"/>
    </row>
    <row r="1752" spans="1:28" s="58" customFormat="1" ht="30" hidden="1" customHeight="1" outlineLevel="1" x14ac:dyDescent="0.4">
      <c r="A1752" s="54"/>
      <c r="B1752" s="48" t="s">
        <v>404</v>
      </c>
      <c r="C1752" s="49" t="s">
        <v>14</v>
      </c>
      <c r="D1752" s="65">
        <f>34*1.26/1000</f>
        <v>4.2840000000000003E-2</v>
      </c>
      <c r="E1752" s="51">
        <v>4.2999999999999997E-2</v>
      </c>
      <c r="F1752" s="57"/>
    </row>
    <row r="1753" spans="1:28" ht="36" customHeight="1" collapsed="1" x14ac:dyDescent="0.35">
      <c r="A1753" s="24">
        <f>A1751+1</f>
        <v>744</v>
      </c>
      <c r="B1753" s="59" t="s">
        <v>405</v>
      </c>
      <c r="C1753" s="26" t="s">
        <v>58</v>
      </c>
      <c r="D1753" s="82">
        <v>4</v>
      </c>
      <c r="E1753" s="41"/>
      <c r="F1753" s="42"/>
    </row>
    <row r="1754" spans="1:28" s="58" customFormat="1" ht="30" hidden="1" customHeight="1" outlineLevel="1" x14ac:dyDescent="0.4">
      <c r="A1754" s="54"/>
      <c r="B1754" s="48" t="s">
        <v>406</v>
      </c>
      <c r="C1754" s="49" t="s">
        <v>14</v>
      </c>
      <c r="D1754" s="65">
        <f>20*1.58/1000</f>
        <v>3.1600000000000003E-2</v>
      </c>
      <c r="E1754" s="51">
        <v>3.2000000000000001E-2</v>
      </c>
      <c r="F1754" s="57"/>
    </row>
    <row r="1755" spans="1:28" s="58" customFormat="1" ht="30" customHeight="1" collapsed="1" x14ac:dyDescent="0.4">
      <c r="A1755" s="24">
        <f>A1753+1</f>
        <v>745</v>
      </c>
      <c r="B1755" s="71" t="s">
        <v>315</v>
      </c>
      <c r="C1755" s="40" t="s">
        <v>132</v>
      </c>
      <c r="D1755" s="40">
        <v>47</v>
      </c>
      <c r="E1755" s="66"/>
      <c r="F1755" s="57"/>
    </row>
    <row r="1756" spans="1:28" s="58" customFormat="1" ht="30" hidden="1" customHeight="1" outlineLevel="1" x14ac:dyDescent="0.4">
      <c r="A1756" s="87"/>
      <c r="B1756" s="48" t="s">
        <v>314</v>
      </c>
      <c r="C1756" s="75" t="s">
        <v>14</v>
      </c>
      <c r="D1756" s="65">
        <f>47*1.26/1000</f>
        <v>5.9220000000000002E-2</v>
      </c>
      <c r="E1756" s="88">
        <v>5.8999999999999997E-2</v>
      </c>
      <c r="F1756" s="57"/>
    </row>
    <row r="1757" spans="1:28" ht="36" customHeight="1" collapsed="1" x14ac:dyDescent="0.35">
      <c r="A1757" s="24">
        <f>A1755+1</f>
        <v>746</v>
      </c>
      <c r="B1757" s="59" t="s">
        <v>316</v>
      </c>
      <c r="C1757" s="26" t="s">
        <v>132</v>
      </c>
      <c r="D1757" s="82">
        <v>10</v>
      </c>
      <c r="E1757" s="41"/>
      <c r="F1757" s="42"/>
    </row>
    <row r="1758" spans="1:28" s="58" customFormat="1" ht="30" hidden="1" customHeight="1" outlineLevel="1" x14ac:dyDescent="0.4">
      <c r="A1758" s="54"/>
      <c r="B1758" s="48" t="s">
        <v>407</v>
      </c>
      <c r="C1758" s="49" t="s">
        <v>132</v>
      </c>
      <c r="D1758" s="55">
        <v>10</v>
      </c>
      <c r="E1758" s="51"/>
      <c r="F1758" s="57"/>
    </row>
    <row r="1759" spans="1:28" s="58" customFormat="1" ht="30" hidden="1" customHeight="1" outlineLevel="1" x14ac:dyDescent="0.4">
      <c r="A1759" s="54"/>
      <c r="B1759" s="48" t="s">
        <v>408</v>
      </c>
      <c r="C1759" s="49" t="s">
        <v>58</v>
      </c>
      <c r="D1759" s="55">
        <v>20</v>
      </c>
      <c r="E1759" s="51"/>
      <c r="F1759" s="57"/>
    </row>
    <row r="1760" spans="1:28" s="58" customFormat="1" ht="30" hidden="1" customHeight="1" outlineLevel="1" x14ac:dyDescent="0.4">
      <c r="A1760" s="54"/>
      <c r="B1760" s="48" t="s">
        <v>409</v>
      </c>
      <c r="C1760" s="49" t="s">
        <v>58</v>
      </c>
      <c r="D1760" s="55">
        <v>20</v>
      </c>
      <c r="E1760" s="51"/>
      <c r="F1760" s="57"/>
    </row>
    <row r="1761" spans="1:28" s="58" customFormat="1" ht="30" hidden="1" customHeight="1" outlineLevel="1" x14ac:dyDescent="0.4">
      <c r="A1761" s="54"/>
      <c r="B1761" s="48" t="s">
        <v>410</v>
      </c>
      <c r="C1761" s="49" t="s">
        <v>58</v>
      </c>
      <c r="D1761" s="55">
        <v>20</v>
      </c>
      <c r="E1761" s="51"/>
      <c r="F1761" s="57"/>
    </row>
    <row r="1762" spans="1:28" s="58" customFormat="1" ht="30" hidden="1" customHeight="1" outlineLevel="1" x14ac:dyDescent="0.4">
      <c r="A1762" s="54"/>
      <c r="B1762" s="48" t="s">
        <v>411</v>
      </c>
      <c r="C1762" s="49" t="s">
        <v>58</v>
      </c>
      <c r="D1762" s="55">
        <v>40</v>
      </c>
      <c r="E1762" s="51"/>
      <c r="F1762" s="57"/>
    </row>
    <row r="1763" spans="1:28" s="39" customFormat="1" ht="21" customHeight="1" collapsed="1" x14ac:dyDescent="0.35">
      <c r="A1763" s="158" t="s">
        <v>762</v>
      </c>
      <c r="B1763" s="158"/>
      <c r="C1763" s="158"/>
      <c r="D1763" s="158"/>
      <c r="E1763" s="158"/>
      <c r="F1763" s="34"/>
      <c r="G1763" s="35"/>
      <c r="H1763" s="36"/>
      <c r="I1763" s="37"/>
      <c r="J1763" s="37"/>
      <c r="K1763" s="38"/>
      <c r="L1763" s="38"/>
      <c r="M1763" s="38"/>
      <c r="N1763" s="36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</row>
    <row r="1764" spans="1:28" ht="31" customHeight="1" x14ac:dyDescent="0.35">
      <c r="A1764" s="24">
        <f>A1757+1</f>
        <v>747</v>
      </c>
      <c r="B1764" s="25" t="s">
        <v>657</v>
      </c>
      <c r="C1764" s="89" t="s">
        <v>58</v>
      </c>
      <c r="D1764" s="26">
        <v>1</v>
      </c>
      <c r="E1764" s="41"/>
      <c r="F1764" s="42"/>
    </row>
    <row r="1765" spans="1:28" ht="61.75" hidden="1" outlineLevel="1" x14ac:dyDescent="0.35">
      <c r="A1765" s="47"/>
      <c r="B1765" s="48" t="s">
        <v>763</v>
      </c>
      <c r="C1765" s="49" t="s">
        <v>58</v>
      </c>
      <c r="D1765" s="49">
        <v>1</v>
      </c>
      <c r="E1765" s="78"/>
      <c r="F1765" s="42"/>
    </row>
    <row r="1766" spans="1:28" s="58" customFormat="1" ht="30" customHeight="1" collapsed="1" x14ac:dyDescent="0.4">
      <c r="A1766" s="24">
        <f>A1764+1</f>
        <v>748</v>
      </c>
      <c r="B1766" s="25" t="s">
        <v>582</v>
      </c>
      <c r="C1766" s="89" t="s">
        <v>132</v>
      </c>
      <c r="D1766" s="90">
        <v>74</v>
      </c>
      <c r="E1766" s="91"/>
      <c r="F1766" s="57"/>
    </row>
    <row r="1767" spans="1:28" s="58" customFormat="1" ht="30" hidden="1" customHeight="1" outlineLevel="1" x14ac:dyDescent="0.4">
      <c r="A1767" s="87"/>
      <c r="B1767" s="48" t="s">
        <v>454</v>
      </c>
      <c r="C1767" s="75" t="s">
        <v>132</v>
      </c>
      <c r="D1767" s="74">
        <v>74</v>
      </c>
      <c r="E1767" s="88">
        <v>2.3E-2</v>
      </c>
      <c r="F1767" s="57"/>
    </row>
    <row r="1768" spans="1:28" s="58" customFormat="1" ht="30" hidden="1" customHeight="1" outlineLevel="1" x14ac:dyDescent="0.4">
      <c r="A1768" s="87"/>
      <c r="B1768" s="48" t="s">
        <v>441</v>
      </c>
      <c r="C1768" s="75" t="s">
        <v>58</v>
      </c>
      <c r="D1768" s="74">
        <v>2</v>
      </c>
      <c r="E1768" s="88"/>
      <c r="F1768" s="57"/>
    </row>
    <row r="1769" spans="1:28" s="58" customFormat="1" ht="30" customHeight="1" collapsed="1" x14ac:dyDescent="0.4">
      <c r="A1769" s="24">
        <f>A1766+1</f>
        <v>749</v>
      </c>
      <c r="B1769" s="25" t="s">
        <v>316</v>
      </c>
      <c r="C1769" s="89" t="s">
        <v>132</v>
      </c>
      <c r="D1769" s="96">
        <v>2</v>
      </c>
      <c r="E1769" s="98"/>
      <c r="F1769" s="57"/>
      <c r="O1769" s="58" t="s">
        <v>442</v>
      </c>
    </row>
    <row r="1770" spans="1:28" s="58" customFormat="1" ht="30" hidden="1" customHeight="1" outlineLevel="1" x14ac:dyDescent="0.4">
      <c r="A1770" s="87"/>
      <c r="B1770" s="48" t="s">
        <v>317</v>
      </c>
      <c r="C1770" s="75" t="s">
        <v>132</v>
      </c>
      <c r="D1770" s="74">
        <v>2</v>
      </c>
      <c r="E1770" s="93"/>
      <c r="F1770" s="57"/>
    </row>
    <row r="1771" spans="1:28" s="58" customFormat="1" ht="30" customHeight="1" collapsed="1" x14ac:dyDescent="0.4">
      <c r="A1771" s="24">
        <f>A1769+1</f>
        <v>750</v>
      </c>
      <c r="B1771" s="25" t="s">
        <v>340</v>
      </c>
      <c r="C1771" s="89" t="s">
        <v>132</v>
      </c>
      <c r="D1771" s="90">
        <v>10</v>
      </c>
      <c r="E1771" s="99"/>
      <c r="F1771" s="57"/>
    </row>
    <row r="1772" spans="1:28" s="58" customFormat="1" ht="30" hidden="1" customHeight="1" outlineLevel="1" x14ac:dyDescent="0.4">
      <c r="A1772" s="87"/>
      <c r="B1772" s="48" t="s">
        <v>341</v>
      </c>
      <c r="C1772" s="75" t="s">
        <v>14</v>
      </c>
      <c r="D1772" s="77">
        <f>10*1.66/1000*1.1</f>
        <v>1.8259999999999998E-2</v>
      </c>
      <c r="E1772" s="88">
        <v>1.7999999999999999E-2</v>
      </c>
      <c r="F1772" s="57"/>
    </row>
    <row r="1773" spans="1:28" s="58" customFormat="1" ht="30" customHeight="1" collapsed="1" x14ac:dyDescent="0.4">
      <c r="A1773" s="24">
        <f>A1771+1</f>
        <v>751</v>
      </c>
      <c r="B1773" s="25" t="s">
        <v>284</v>
      </c>
      <c r="C1773" s="89" t="s">
        <v>132</v>
      </c>
      <c r="D1773" s="90">
        <v>2</v>
      </c>
      <c r="E1773" s="91"/>
      <c r="F1773" s="57"/>
    </row>
    <row r="1774" spans="1:28" s="58" customFormat="1" ht="30" hidden="1" customHeight="1" outlineLevel="1" x14ac:dyDescent="0.4">
      <c r="A1774" s="87"/>
      <c r="B1774" s="48" t="s">
        <v>342</v>
      </c>
      <c r="C1774" s="75" t="s">
        <v>132</v>
      </c>
      <c r="D1774" s="74">
        <v>2</v>
      </c>
      <c r="E1774" s="88"/>
      <c r="F1774" s="57"/>
    </row>
    <row r="1775" spans="1:28" s="58" customFormat="1" ht="30" hidden="1" customHeight="1" outlineLevel="1" x14ac:dyDescent="0.4">
      <c r="A1775" s="87"/>
      <c r="B1775" s="48" t="s">
        <v>343</v>
      </c>
      <c r="C1775" s="75" t="s">
        <v>132</v>
      </c>
      <c r="D1775" s="74">
        <v>2</v>
      </c>
      <c r="E1775" s="88"/>
      <c r="F1775" s="57"/>
    </row>
    <row r="1776" spans="1:28" s="58" customFormat="1" ht="30" hidden="1" customHeight="1" outlineLevel="1" x14ac:dyDescent="0.4">
      <c r="A1776" s="87"/>
      <c r="B1776" s="48" t="s">
        <v>348</v>
      </c>
      <c r="C1776" s="75" t="s">
        <v>349</v>
      </c>
      <c r="D1776" s="74">
        <v>1</v>
      </c>
      <c r="E1776" s="88"/>
      <c r="F1776" s="57"/>
    </row>
    <row r="1777" spans="1:28" ht="31" customHeight="1" collapsed="1" x14ac:dyDescent="0.35">
      <c r="A1777" s="24">
        <f>A1773+1</f>
        <v>752</v>
      </c>
      <c r="B1777" s="25" t="s">
        <v>592</v>
      </c>
      <c r="C1777" s="89" t="s">
        <v>58</v>
      </c>
      <c r="D1777" s="26">
        <v>1</v>
      </c>
      <c r="E1777" s="41"/>
      <c r="F1777" s="42"/>
    </row>
    <row r="1778" spans="1:28" ht="30" hidden="1" customHeight="1" outlineLevel="1" x14ac:dyDescent="0.35">
      <c r="A1778" s="47"/>
      <c r="B1778" s="48" t="s">
        <v>593</v>
      </c>
      <c r="C1778" s="49" t="s">
        <v>58</v>
      </c>
      <c r="D1778" s="49">
        <v>5</v>
      </c>
      <c r="E1778" s="78"/>
      <c r="F1778" s="42"/>
    </row>
    <row r="1779" spans="1:28" s="58" customFormat="1" ht="30" customHeight="1" collapsed="1" x14ac:dyDescent="0.4">
      <c r="A1779" s="24">
        <f>A1777+1</f>
        <v>753</v>
      </c>
      <c r="B1779" s="71" t="s">
        <v>315</v>
      </c>
      <c r="C1779" s="40" t="s">
        <v>132</v>
      </c>
      <c r="D1779" s="82">
        <v>4</v>
      </c>
      <c r="E1779" s="66"/>
      <c r="F1779" s="57"/>
    </row>
    <row r="1780" spans="1:28" s="58" customFormat="1" ht="30" hidden="1" customHeight="1" outlineLevel="1" x14ac:dyDescent="0.4">
      <c r="A1780" s="87"/>
      <c r="B1780" s="48" t="s">
        <v>314</v>
      </c>
      <c r="C1780" s="75" t="s">
        <v>14</v>
      </c>
      <c r="D1780" s="65">
        <f>4*1.26/1000</f>
        <v>5.0400000000000002E-3</v>
      </c>
      <c r="E1780" s="88">
        <v>5.0000000000000001E-3</v>
      </c>
      <c r="F1780" s="57"/>
    </row>
    <row r="1781" spans="1:28" s="39" customFormat="1" ht="30" customHeight="1" collapsed="1" x14ac:dyDescent="0.35">
      <c r="A1781" s="153" t="s">
        <v>764</v>
      </c>
      <c r="B1781" s="153"/>
      <c r="C1781" s="153"/>
      <c r="D1781" s="153"/>
      <c r="E1781" s="153"/>
      <c r="F1781" s="34"/>
      <c r="G1781" s="35"/>
      <c r="H1781" s="36"/>
      <c r="I1781" s="37"/>
      <c r="J1781" s="37"/>
      <c r="K1781" s="38"/>
      <c r="L1781" s="38"/>
      <c r="M1781" s="38"/>
      <c r="N1781" s="36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</row>
    <row r="1782" spans="1:28" s="39" customFormat="1" ht="21" customHeight="1" x14ac:dyDescent="0.35">
      <c r="A1782" s="158" t="s">
        <v>765</v>
      </c>
      <c r="B1782" s="158"/>
      <c r="C1782" s="158"/>
      <c r="D1782" s="158"/>
      <c r="E1782" s="158"/>
      <c r="F1782" s="34"/>
      <c r="G1782" s="35"/>
      <c r="H1782" s="36"/>
      <c r="I1782" s="37"/>
      <c r="J1782" s="37"/>
      <c r="K1782" s="38"/>
      <c r="L1782" s="38"/>
      <c r="M1782" s="38"/>
      <c r="N1782" s="36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</row>
    <row r="1783" spans="1:28" ht="36" customHeight="1" x14ac:dyDescent="0.35">
      <c r="A1783" s="24">
        <f>A1779+1</f>
        <v>754</v>
      </c>
      <c r="B1783" s="59" t="s">
        <v>766</v>
      </c>
      <c r="C1783" s="26" t="s">
        <v>29</v>
      </c>
      <c r="D1783" s="67">
        <v>97.3</v>
      </c>
      <c r="E1783" s="41"/>
      <c r="F1783" s="42"/>
    </row>
    <row r="1784" spans="1:28" ht="30" customHeight="1" x14ac:dyDescent="0.35">
      <c r="A1784" s="24">
        <f>A1783+1</f>
        <v>755</v>
      </c>
      <c r="B1784" s="25" t="s">
        <v>131</v>
      </c>
      <c r="C1784" s="26" t="s">
        <v>132</v>
      </c>
      <c r="D1784" s="73">
        <v>38</v>
      </c>
      <c r="E1784" s="41"/>
      <c r="F1784" s="42"/>
    </row>
    <row r="1785" spans="1:28" ht="31" hidden="1" customHeight="1" outlineLevel="1" x14ac:dyDescent="0.35">
      <c r="A1785" s="47"/>
      <c r="B1785" s="48" t="s">
        <v>133</v>
      </c>
      <c r="C1785" s="49" t="s">
        <v>58</v>
      </c>
      <c r="D1785" s="55">
        <v>38</v>
      </c>
      <c r="E1785" s="56">
        <v>3.8</v>
      </c>
      <c r="F1785" s="42"/>
    </row>
    <row r="1786" spans="1:28" ht="31" hidden="1" customHeight="1" outlineLevel="1" x14ac:dyDescent="0.35">
      <c r="A1786" s="74"/>
      <c r="B1786" s="48" t="s">
        <v>134</v>
      </c>
      <c r="C1786" s="49" t="s">
        <v>19</v>
      </c>
      <c r="D1786" s="81">
        <f>2.54</f>
        <v>2.54</v>
      </c>
      <c r="E1786" s="69"/>
      <c r="F1786" s="42"/>
    </row>
    <row r="1787" spans="1:28" ht="30" customHeight="1" collapsed="1" x14ac:dyDescent="0.35">
      <c r="A1787" s="24">
        <f>A1784+1</f>
        <v>756</v>
      </c>
      <c r="B1787" s="25" t="s">
        <v>135</v>
      </c>
      <c r="C1787" s="26" t="s">
        <v>19</v>
      </c>
      <c r="D1787" s="110">
        <v>13.74</v>
      </c>
      <c r="E1787" s="41"/>
      <c r="F1787" s="42"/>
    </row>
    <row r="1788" spans="1:28" ht="31" hidden="1" customHeight="1" outlineLevel="1" x14ac:dyDescent="0.35">
      <c r="A1788" s="47"/>
      <c r="B1788" s="48" t="s">
        <v>52</v>
      </c>
      <c r="C1788" s="49" t="s">
        <v>19</v>
      </c>
      <c r="D1788" s="68">
        <f>13.74</f>
        <v>13.74</v>
      </c>
      <c r="E1788" s="51"/>
      <c r="F1788" s="42"/>
    </row>
    <row r="1789" spans="1:28" s="39" customFormat="1" ht="21" customHeight="1" collapsed="1" x14ac:dyDescent="0.35">
      <c r="A1789" s="158" t="s">
        <v>767</v>
      </c>
      <c r="B1789" s="158"/>
      <c r="C1789" s="158"/>
      <c r="D1789" s="158"/>
      <c r="E1789" s="158"/>
      <c r="F1789" s="34"/>
      <c r="G1789" s="35"/>
      <c r="H1789" s="36"/>
      <c r="I1789" s="37"/>
      <c r="J1789" s="37"/>
      <c r="K1789" s="38"/>
      <c r="L1789" s="38"/>
      <c r="M1789" s="38"/>
      <c r="N1789" s="36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</row>
    <row r="1790" spans="1:28" s="39" customFormat="1" ht="21" customHeight="1" x14ac:dyDescent="0.35">
      <c r="A1790" s="154" t="s">
        <v>768</v>
      </c>
      <c r="B1790" s="154"/>
      <c r="C1790" s="154"/>
      <c r="D1790" s="154"/>
      <c r="E1790" s="154"/>
      <c r="F1790" s="34"/>
      <c r="G1790" s="35"/>
      <c r="H1790" s="36"/>
      <c r="I1790" s="37"/>
      <c r="J1790" s="37"/>
      <c r="K1790" s="38"/>
      <c r="L1790" s="38"/>
      <c r="M1790" s="38"/>
      <c r="N1790" s="36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</row>
    <row r="1791" spans="1:28" s="39" customFormat="1" ht="36" customHeight="1" x14ac:dyDescent="0.35">
      <c r="A1791" s="24">
        <f>A1787+1</f>
        <v>757</v>
      </c>
      <c r="B1791" s="25" t="s">
        <v>136</v>
      </c>
      <c r="C1791" s="26" t="s">
        <v>19</v>
      </c>
      <c r="D1791" s="40">
        <f>0.07*4</f>
        <v>0.28000000000000003</v>
      </c>
      <c r="E1791" s="64"/>
      <c r="F1791" s="34"/>
      <c r="G1791" s="35"/>
      <c r="H1791" s="36"/>
      <c r="I1791" s="37"/>
      <c r="J1791" s="37"/>
      <c r="K1791" s="38"/>
      <c r="L1791" s="38"/>
      <c r="M1791" s="38"/>
      <c r="N1791" s="36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</row>
    <row r="1792" spans="1:28" ht="34.5" hidden="1" customHeight="1" outlineLevel="1" x14ac:dyDescent="0.35">
      <c r="A1792" s="47"/>
      <c r="B1792" s="48" t="s">
        <v>134</v>
      </c>
      <c r="C1792" s="75" t="s">
        <v>19</v>
      </c>
      <c r="D1792" s="63">
        <f>0.28</f>
        <v>0.28000000000000003</v>
      </c>
      <c r="E1792" s="76"/>
      <c r="F1792" s="42"/>
    </row>
    <row r="1793" spans="1:28" ht="33" customHeight="1" collapsed="1" x14ac:dyDescent="0.35">
      <c r="A1793" s="24">
        <f>A1791+1</f>
        <v>758</v>
      </c>
      <c r="B1793" s="25" t="s">
        <v>64</v>
      </c>
      <c r="C1793" s="26" t="s">
        <v>19</v>
      </c>
      <c r="D1793" s="40">
        <v>1.48</v>
      </c>
      <c r="E1793" s="41"/>
      <c r="F1793" s="53"/>
    </row>
    <row r="1794" spans="1:28" ht="34.5" hidden="1" customHeight="1" outlineLevel="1" x14ac:dyDescent="0.35">
      <c r="A1794" s="47"/>
      <c r="B1794" s="48" t="s">
        <v>137</v>
      </c>
      <c r="C1794" s="75" t="s">
        <v>14</v>
      </c>
      <c r="D1794" s="77">
        <f>3.91*4/1000</f>
        <v>1.5640000000000001E-2</v>
      </c>
      <c r="E1794" s="78"/>
      <c r="F1794" s="42"/>
    </row>
    <row r="1795" spans="1:28" s="58" customFormat="1" ht="30" hidden="1" customHeight="1" outlineLevel="1" x14ac:dyDescent="0.4">
      <c r="A1795" s="54"/>
      <c r="B1795" s="48" t="s">
        <v>65</v>
      </c>
      <c r="C1795" s="49" t="s">
        <v>19</v>
      </c>
      <c r="D1795" s="63">
        <f>0.37*4</f>
        <v>1.48</v>
      </c>
      <c r="E1795" s="51"/>
      <c r="F1795" s="57"/>
    </row>
    <row r="1796" spans="1:28" s="58" customFormat="1" ht="30" customHeight="1" collapsed="1" x14ac:dyDescent="0.4">
      <c r="A1796" s="24">
        <f>A1793+1</f>
        <v>759</v>
      </c>
      <c r="B1796" s="59" t="s">
        <v>138</v>
      </c>
      <c r="C1796" s="70" t="s">
        <v>67</v>
      </c>
      <c r="D1796" s="40" t="s">
        <v>769</v>
      </c>
      <c r="E1796" s="66"/>
      <c r="F1796" s="57"/>
    </row>
    <row r="1797" spans="1:28" s="58" customFormat="1" ht="30" hidden="1" customHeight="1" outlineLevel="1" x14ac:dyDescent="0.4">
      <c r="A1797" s="54"/>
      <c r="B1797" s="48" t="s">
        <v>140</v>
      </c>
      <c r="C1797" s="49" t="s">
        <v>58</v>
      </c>
      <c r="D1797" s="55">
        <v>4</v>
      </c>
      <c r="E1797" s="51"/>
      <c r="F1797" s="57"/>
    </row>
    <row r="1798" spans="1:28" s="39" customFormat="1" ht="36" customHeight="1" collapsed="1" x14ac:dyDescent="0.35">
      <c r="A1798" s="24">
        <f>A1796+1</f>
        <v>760</v>
      </c>
      <c r="B1798" s="25" t="s">
        <v>66</v>
      </c>
      <c r="C1798" s="26" t="s">
        <v>67</v>
      </c>
      <c r="D1798" s="40" t="s">
        <v>770</v>
      </c>
      <c r="E1798" s="64"/>
      <c r="F1798" s="34"/>
      <c r="G1798" s="35"/>
      <c r="H1798" s="36"/>
      <c r="I1798" s="37"/>
      <c r="J1798" s="37"/>
      <c r="K1798" s="38"/>
      <c r="L1798" s="38"/>
      <c r="M1798" s="38"/>
      <c r="N1798" s="36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</row>
    <row r="1799" spans="1:28" s="58" customFormat="1" ht="30" hidden="1" customHeight="1" outlineLevel="1" x14ac:dyDescent="0.4">
      <c r="A1799" s="54"/>
      <c r="B1799" s="48" t="s">
        <v>613</v>
      </c>
      <c r="C1799" s="49" t="s">
        <v>14</v>
      </c>
      <c r="D1799" s="65">
        <f>((19.21*3)+17.95)/1000</f>
        <v>7.5579999999999994E-2</v>
      </c>
      <c r="E1799" s="51"/>
      <c r="F1799" s="57"/>
    </row>
    <row r="1800" spans="1:28" s="58" customFormat="1" ht="30" hidden="1" customHeight="1" outlineLevel="1" x14ac:dyDescent="0.4">
      <c r="A1800" s="54"/>
      <c r="B1800" s="48" t="s">
        <v>185</v>
      </c>
      <c r="C1800" s="49" t="s">
        <v>14</v>
      </c>
      <c r="D1800" s="65">
        <f>(2.52+5.66)*4/1000</f>
        <v>3.2719999999999999E-2</v>
      </c>
      <c r="E1800" s="51"/>
      <c r="F1800" s="57"/>
    </row>
    <row r="1801" spans="1:28" s="58" customFormat="1" ht="30" customHeight="1" collapsed="1" x14ac:dyDescent="0.4">
      <c r="A1801" s="24">
        <f>A1798+1</f>
        <v>761</v>
      </c>
      <c r="B1801" s="59" t="s">
        <v>71</v>
      </c>
      <c r="C1801" s="26" t="s">
        <v>67</v>
      </c>
      <c r="D1801" s="40" t="s">
        <v>770</v>
      </c>
      <c r="E1801" s="66"/>
      <c r="F1801" s="57"/>
    </row>
    <row r="1802" spans="1:28" ht="31" customHeight="1" x14ac:dyDescent="0.35">
      <c r="A1802" s="24">
        <f>A1801+1</f>
        <v>762</v>
      </c>
      <c r="B1802" s="25" t="s">
        <v>755</v>
      </c>
      <c r="C1802" s="89" t="s">
        <v>29</v>
      </c>
      <c r="D1802" s="80">
        <f>((1.9*0.6*4*4))</f>
        <v>18.239999999999998</v>
      </c>
      <c r="E1802" s="41"/>
      <c r="F1802" s="42"/>
    </row>
    <row r="1803" spans="1:28" ht="30" hidden="1" customHeight="1" outlineLevel="1" x14ac:dyDescent="0.35">
      <c r="A1803" s="47"/>
      <c r="B1803" s="48" t="s">
        <v>756</v>
      </c>
      <c r="C1803" s="49" t="s">
        <v>74</v>
      </c>
      <c r="D1803" s="68">
        <f>D1802*2</f>
        <v>36.479999999999997</v>
      </c>
      <c r="E1803" s="78"/>
      <c r="F1803" s="42"/>
    </row>
    <row r="1804" spans="1:28" ht="36" customHeight="1" collapsed="1" x14ac:dyDescent="0.35">
      <c r="A1804" s="24">
        <f>A1802+1</f>
        <v>763</v>
      </c>
      <c r="B1804" s="59" t="s">
        <v>72</v>
      </c>
      <c r="C1804" s="26" t="s">
        <v>29</v>
      </c>
      <c r="D1804" s="67">
        <f>((0.089*0.8*3.14)+(0.3*0.3*2))*4</f>
        <v>1.6142720000000002</v>
      </c>
      <c r="E1804" s="41"/>
      <c r="F1804" s="42"/>
    </row>
    <row r="1805" spans="1:28" s="58" customFormat="1" ht="30" hidden="1" customHeight="1" outlineLevel="1" x14ac:dyDescent="0.4">
      <c r="A1805" s="54"/>
      <c r="B1805" s="48" t="s">
        <v>73</v>
      </c>
      <c r="C1805" s="49" t="s">
        <v>74</v>
      </c>
      <c r="D1805" s="68">
        <f>3.31*D1804</f>
        <v>5.3432403200000005</v>
      </c>
      <c r="E1805" s="69">
        <v>5.0000000000000001E-3</v>
      </c>
      <c r="F1805" s="57"/>
    </row>
    <row r="1806" spans="1:28" ht="36" customHeight="1" collapsed="1" x14ac:dyDescent="0.35">
      <c r="A1806" s="24">
        <f>A1804+1</f>
        <v>764</v>
      </c>
      <c r="B1806" s="59" t="s">
        <v>75</v>
      </c>
      <c r="C1806" s="26" t="s">
        <v>29</v>
      </c>
      <c r="D1806" s="67">
        <f>((0.089*0.8*3.14)+(0.3*0.3*2))*4</f>
        <v>1.6142720000000002</v>
      </c>
      <c r="E1806" s="41"/>
      <c r="F1806" s="42"/>
    </row>
    <row r="1807" spans="1:28" ht="36" customHeight="1" x14ac:dyDescent="0.35">
      <c r="A1807" s="24">
        <f>A1806+1</f>
        <v>765</v>
      </c>
      <c r="B1807" s="59" t="s">
        <v>76</v>
      </c>
      <c r="C1807" s="26" t="s">
        <v>29</v>
      </c>
      <c r="D1807" s="67">
        <f>((0.089*0.8*3.14)+(0.3*0.3*2))*4</f>
        <v>1.6142720000000002</v>
      </c>
      <c r="E1807" s="41"/>
      <c r="F1807" s="42"/>
    </row>
    <row r="1808" spans="1:28" s="58" customFormat="1" ht="30" customHeight="1" x14ac:dyDescent="0.4">
      <c r="A1808" s="24">
        <f>A1807+1</f>
        <v>766</v>
      </c>
      <c r="B1808" s="59" t="s">
        <v>77</v>
      </c>
      <c r="C1808" s="70" t="s">
        <v>29</v>
      </c>
      <c r="D1808" s="67">
        <f>((0.089*0.8*3.14)+(0.3*0.3*2))*4</f>
        <v>1.6142720000000002</v>
      </c>
      <c r="E1808" s="66"/>
      <c r="F1808" s="57"/>
    </row>
    <row r="1809" spans="1:28" s="58" customFormat="1" ht="30" hidden="1" customHeight="1" outlineLevel="1" x14ac:dyDescent="0.4">
      <c r="A1809" s="54"/>
      <c r="B1809" s="48" t="s">
        <v>78</v>
      </c>
      <c r="C1809" s="49" t="s">
        <v>74</v>
      </c>
      <c r="D1809" s="68">
        <f>D1808*0.255</f>
        <v>0.41163936000000007</v>
      </c>
      <c r="E1809" s="69">
        <v>1E-3</v>
      </c>
      <c r="F1809" s="57"/>
    </row>
    <row r="1810" spans="1:28" s="58" customFormat="1" ht="30" customHeight="1" collapsed="1" x14ac:dyDescent="0.4">
      <c r="A1810" s="24">
        <f>A1808+1</f>
        <v>767</v>
      </c>
      <c r="B1810" s="59" t="s">
        <v>79</v>
      </c>
      <c r="C1810" s="70" t="s">
        <v>29</v>
      </c>
      <c r="D1810" s="67">
        <f>((0.089*0.8*3.14)+(0.3*0.3*2))*4</f>
        <v>1.6142720000000002</v>
      </c>
      <c r="E1810" s="66"/>
      <c r="F1810" s="57"/>
    </row>
    <row r="1811" spans="1:28" s="58" customFormat="1" ht="30" hidden="1" customHeight="1" outlineLevel="1" x14ac:dyDescent="0.4">
      <c r="A1811" s="54"/>
      <c r="B1811" s="48" t="s">
        <v>80</v>
      </c>
      <c r="C1811" s="49" t="s">
        <v>74</v>
      </c>
      <c r="D1811" s="68">
        <f>D1810*0.36*2</f>
        <v>1.1622758400000002</v>
      </c>
      <c r="E1811" s="69">
        <v>1E-3</v>
      </c>
      <c r="F1811" s="57"/>
    </row>
    <row r="1812" spans="1:28" s="39" customFormat="1" ht="21" customHeight="1" collapsed="1" x14ac:dyDescent="0.35">
      <c r="A1812" s="154" t="s">
        <v>60</v>
      </c>
      <c r="B1812" s="154"/>
      <c r="C1812" s="154"/>
      <c r="D1812" s="154"/>
      <c r="E1812" s="154"/>
      <c r="F1812" s="34"/>
      <c r="G1812" s="35"/>
      <c r="H1812" s="36"/>
      <c r="I1812" s="37"/>
      <c r="J1812" s="37"/>
      <c r="K1812" s="38"/>
      <c r="L1812" s="38"/>
      <c r="M1812" s="38"/>
      <c r="N1812" s="36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</row>
    <row r="1813" spans="1:28" s="39" customFormat="1" ht="36" customHeight="1" x14ac:dyDescent="0.35">
      <c r="A1813" s="72">
        <f>A1810+1</f>
        <v>768</v>
      </c>
      <c r="B1813" s="25" t="s">
        <v>136</v>
      </c>
      <c r="C1813" s="26" t="s">
        <v>19</v>
      </c>
      <c r="D1813" s="40">
        <v>7.0000000000000007E-2</v>
      </c>
      <c r="E1813" s="64"/>
      <c r="F1813" s="34"/>
      <c r="G1813" s="35"/>
      <c r="H1813" s="36"/>
      <c r="I1813" s="37"/>
      <c r="J1813" s="37"/>
      <c r="K1813" s="38"/>
      <c r="L1813" s="38"/>
      <c r="M1813" s="38"/>
      <c r="N1813" s="36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</row>
    <row r="1814" spans="1:28" ht="34.5" hidden="1" customHeight="1" outlineLevel="1" x14ac:dyDescent="0.35">
      <c r="A1814" s="47"/>
      <c r="B1814" s="48" t="s">
        <v>134</v>
      </c>
      <c r="C1814" s="75" t="s">
        <v>19</v>
      </c>
      <c r="D1814" s="75">
        <v>7.0000000000000007E-2</v>
      </c>
      <c r="E1814" s="76"/>
      <c r="F1814" s="42"/>
    </row>
    <row r="1815" spans="1:28" ht="33" customHeight="1" collapsed="1" x14ac:dyDescent="0.35">
      <c r="A1815" s="24">
        <f>A1813+1</f>
        <v>769</v>
      </c>
      <c r="B1815" s="25" t="s">
        <v>64</v>
      </c>
      <c r="C1815" s="26" t="s">
        <v>19</v>
      </c>
      <c r="D1815" s="40">
        <v>0.37</v>
      </c>
      <c r="E1815" s="41"/>
      <c r="F1815" s="53"/>
    </row>
    <row r="1816" spans="1:28" ht="34.5" hidden="1" customHeight="1" outlineLevel="1" x14ac:dyDescent="0.35">
      <c r="A1816" s="47"/>
      <c r="B1816" s="48" t="s">
        <v>137</v>
      </c>
      <c r="C1816" s="75" t="s">
        <v>14</v>
      </c>
      <c r="D1816" s="77">
        <f>3.91*1/1000*1.1</f>
        <v>4.301000000000001E-3</v>
      </c>
      <c r="E1816" s="78"/>
      <c r="F1816" s="42"/>
    </row>
    <row r="1817" spans="1:28" s="58" customFormat="1" ht="30" hidden="1" customHeight="1" outlineLevel="1" x14ac:dyDescent="0.4">
      <c r="A1817" s="54"/>
      <c r="B1817" s="48" t="s">
        <v>65</v>
      </c>
      <c r="C1817" s="49" t="s">
        <v>19</v>
      </c>
      <c r="D1817" s="75">
        <v>0.37</v>
      </c>
      <c r="E1817" s="51"/>
      <c r="F1817" s="57"/>
    </row>
    <row r="1818" spans="1:28" s="58" customFormat="1" ht="30" customHeight="1" collapsed="1" x14ac:dyDescent="0.4">
      <c r="A1818" s="24">
        <f>A1815+1</f>
        <v>770</v>
      </c>
      <c r="B1818" s="59" t="s">
        <v>138</v>
      </c>
      <c r="C1818" s="70" t="s">
        <v>67</v>
      </c>
      <c r="D1818" s="40" t="s">
        <v>139</v>
      </c>
      <c r="E1818" s="66"/>
      <c r="F1818" s="57"/>
    </row>
    <row r="1819" spans="1:28" s="58" customFormat="1" ht="30" hidden="1" customHeight="1" outlineLevel="1" x14ac:dyDescent="0.4">
      <c r="A1819" s="54"/>
      <c r="B1819" s="48" t="s">
        <v>140</v>
      </c>
      <c r="C1819" s="49" t="s">
        <v>58</v>
      </c>
      <c r="D1819" s="55">
        <v>1</v>
      </c>
      <c r="E1819" s="51"/>
      <c r="F1819" s="57"/>
    </row>
    <row r="1820" spans="1:28" s="39" customFormat="1" ht="36" customHeight="1" collapsed="1" x14ac:dyDescent="0.35">
      <c r="A1820" s="24">
        <f>A1818+1</f>
        <v>771</v>
      </c>
      <c r="B1820" s="25" t="s">
        <v>66</v>
      </c>
      <c r="C1820" s="26" t="s">
        <v>67</v>
      </c>
      <c r="D1820" s="40" t="s">
        <v>771</v>
      </c>
      <c r="E1820" s="64"/>
      <c r="F1820" s="34"/>
      <c r="G1820" s="35"/>
      <c r="H1820" s="36"/>
      <c r="I1820" s="37"/>
      <c r="J1820" s="37"/>
      <c r="K1820" s="38"/>
      <c r="L1820" s="38"/>
      <c r="M1820" s="38"/>
      <c r="N1820" s="36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</row>
    <row r="1821" spans="1:28" s="58" customFormat="1" ht="30" hidden="1" customHeight="1" outlineLevel="1" x14ac:dyDescent="0.4">
      <c r="A1821" s="54"/>
      <c r="B1821" s="48" t="s">
        <v>142</v>
      </c>
      <c r="C1821" s="49" t="s">
        <v>14</v>
      </c>
      <c r="D1821" s="65">
        <f>(3.95+3.95+38.13)/1000</f>
        <v>4.6030000000000001E-2</v>
      </c>
      <c r="E1821" s="51"/>
      <c r="F1821" s="57"/>
    </row>
    <row r="1822" spans="1:28" s="58" customFormat="1" ht="30" customHeight="1" collapsed="1" x14ac:dyDescent="0.4">
      <c r="A1822" s="24">
        <f>A1820+1</f>
        <v>772</v>
      </c>
      <c r="B1822" s="59" t="s">
        <v>71</v>
      </c>
      <c r="C1822" s="26" t="s">
        <v>67</v>
      </c>
      <c r="D1822" s="40" t="s">
        <v>771</v>
      </c>
      <c r="E1822" s="66"/>
      <c r="F1822" s="57"/>
    </row>
    <row r="1823" spans="1:28" ht="31" customHeight="1" x14ac:dyDescent="0.35">
      <c r="A1823" s="24">
        <f>A1822+1</f>
        <v>773</v>
      </c>
      <c r="B1823" s="25" t="s">
        <v>755</v>
      </c>
      <c r="C1823" s="89" t="s">
        <v>29</v>
      </c>
      <c r="D1823" s="80">
        <f>((1.9*0.6*4*1))</f>
        <v>4.5599999999999996</v>
      </c>
      <c r="E1823" s="41"/>
      <c r="F1823" s="42"/>
    </row>
    <row r="1824" spans="1:28" ht="30" hidden="1" customHeight="1" outlineLevel="1" x14ac:dyDescent="0.35">
      <c r="A1824" s="47"/>
      <c r="B1824" s="48" t="s">
        <v>756</v>
      </c>
      <c r="C1824" s="49" t="s">
        <v>74</v>
      </c>
      <c r="D1824" s="68">
        <f>D1823*2</f>
        <v>9.1199999999999992</v>
      </c>
      <c r="E1824" s="78"/>
      <c r="F1824" s="42"/>
    </row>
    <row r="1825" spans="1:28" ht="36" customHeight="1" collapsed="1" x14ac:dyDescent="0.35">
      <c r="A1825" s="24">
        <f>A1823+1</f>
        <v>774</v>
      </c>
      <c r="B1825" s="59" t="s">
        <v>72</v>
      </c>
      <c r="C1825" s="26" t="s">
        <v>29</v>
      </c>
      <c r="D1825" s="67">
        <f>((0.09*2*2)+(0.09*2.41*2))</f>
        <v>0.79380000000000006</v>
      </c>
      <c r="E1825" s="41"/>
      <c r="F1825" s="42"/>
    </row>
    <row r="1826" spans="1:28" s="58" customFormat="1" ht="30" hidden="1" customHeight="1" outlineLevel="1" x14ac:dyDescent="0.4">
      <c r="A1826" s="54"/>
      <c r="B1826" s="48" t="s">
        <v>73</v>
      </c>
      <c r="C1826" s="49" t="s">
        <v>74</v>
      </c>
      <c r="D1826" s="68">
        <f>3.31*D1825</f>
        <v>2.6274780000000004</v>
      </c>
      <c r="E1826" s="69">
        <v>3.0000000000000001E-3</v>
      </c>
      <c r="F1826" s="57"/>
    </row>
    <row r="1827" spans="1:28" ht="36" customHeight="1" collapsed="1" x14ac:dyDescent="0.35">
      <c r="A1827" s="24">
        <f>A1825+1</f>
        <v>775</v>
      </c>
      <c r="B1827" s="59" t="s">
        <v>75</v>
      </c>
      <c r="C1827" s="26" t="s">
        <v>29</v>
      </c>
      <c r="D1827" s="67">
        <f>((0.09*2*2)+(0.09*2.41*2))</f>
        <v>0.79380000000000006</v>
      </c>
      <c r="E1827" s="41"/>
      <c r="F1827" s="42"/>
    </row>
    <row r="1828" spans="1:28" ht="36" customHeight="1" x14ac:dyDescent="0.35">
      <c r="A1828" s="24">
        <f>A1827+1</f>
        <v>776</v>
      </c>
      <c r="B1828" s="59" t="s">
        <v>76</v>
      </c>
      <c r="C1828" s="26" t="s">
        <v>29</v>
      </c>
      <c r="D1828" s="67">
        <f>((0.09*2*2)+(0.09*2.41*2))</f>
        <v>0.79380000000000006</v>
      </c>
      <c r="E1828" s="41"/>
      <c r="F1828" s="42"/>
    </row>
    <row r="1829" spans="1:28" s="58" customFormat="1" ht="30" customHeight="1" x14ac:dyDescent="0.4">
      <c r="A1829" s="24">
        <f>A1828+1</f>
        <v>777</v>
      </c>
      <c r="B1829" s="59" t="s">
        <v>77</v>
      </c>
      <c r="C1829" s="70" t="s">
        <v>29</v>
      </c>
      <c r="D1829" s="67">
        <f>((0.09*2*2)+(0.09*2.41*2))</f>
        <v>0.79380000000000006</v>
      </c>
      <c r="E1829" s="66"/>
      <c r="F1829" s="57"/>
    </row>
    <row r="1830" spans="1:28" s="58" customFormat="1" ht="30" hidden="1" customHeight="1" outlineLevel="1" x14ac:dyDescent="0.4">
      <c r="A1830" s="54"/>
      <c r="B1830" s="48" t="s">
        <v>78</v>
      </c>
      <c r="C1830" s="49" t="s">
        <v>74</v>
      </c>
      <c r="D1830" s="68">
        <f>D1829*0.255</f>
        <v>0.20241900000000002</v>
      </c>
      <c r="E1830" s="69">
        <v>1E-3</v>
      </c>
      <c r="F1830" s="57"/>
    </row>
    <row r="1831" spans="1:28" s="58" customFormat="1" ht="30" customHeight="1" collapsed="1" x14ac:dyDescent="0.4">
      <c r="A1831" s="24">
        <f>A1829+1</f>
        <v>778</v>
      </c>
      <c r="B1831" s="59" t="s">
        <v>79</v>
      </c>
      <c r="C1831" s="70" t="s">
        <v>29</v>
      </c>
      <c r="D1831" s="67">
        <f>((0.09*2*2)+(0.09*2.41*2))</f>
        <v>0.79380000000000006</v>
      </c>
      <c r="E1831" s="66"/>
      <c r="F1831" s="57"/>
    </row>
    <row r="1832" spans="1:28" s="58" customFormat="1" ht="30" hidden="1" customHeight="1" outlineLevel="1" x14ac:dyDescent="0.4">
      <c r="A1832" s="54"/>
      <c r="B1832" s="48" t="s">
        <v>80</v>
      </c>
      <c r="C1832" s="49" t="s">
        <v>74</v>
      </c>
      <c r="D1832" s="68">
        <f>D1831*0.36*2</f>
        <v>0.57153600000000004</v>
      </c>
      <c r="E1832" s="69"/>
      <c r="F1832" s="57"/>
    </row>
    <row r="1833" spans="1:28" s="39" customFormat="1" ht="21" customHeight="1" collapsed="1" x14ac:dyDescent="0.35">
      <c r="A1833" s="158" t="s">
        <v>772</v>
      </c>
      <c r="B1833" s="158"/>
      <c r="C1833" s="158"/>
      <c r="D1833" s="158"/>
      <c r="E1833" s="158"/>
      <c r="F1833" s="34"/>
      <c r="G1833" s="35"/>
      <c r="H1833" s="36"/>
      <c r="I1833" s="37"/>
      <c r="J1833" s="37"/>
      <c r="K1833" s="38"/>
      <c r="L1833" s="38"/>
      <c r="M1833" s="38"/>
      <c r="N1833" s="36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</row>
    <row r="1834" spans="1:28" s="33" customFormat="1" ht="31" customHeight="1" x14ac:dyDescent="0.35">
      <c r="A1834" s="24">
        <f>A1831+1</f>
        <v>779</v>
      </c>
      <c r="B1834" s="59" t="s">
        <v>504</v>
      </c>
      <c r="C1834" s="26" t="s">
        <v>58</v>
      </c>
      <c r="D1834" s="73">
        <v>3</v>
      </c>
      <c r="E1834" s="28"/>
      <c r="F1834" s="29"/>
      <c r="G1834" s="30"/>
      <c r="H1834" s="31"/>
      <c r="I1834" s="30"/>
      <c r="J1834" s="30"/>
      <c r="K1834" s="32"/>
      <c r="L1834" s="32"/>
      <c r="M1834" s="32"/>
      <c r="N1834" s="31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2"/>
      <c r="AA1834" s="32"/>
      <c r="AB1834" s="32"/>
    </row>
    <row r="1835" spans="1:28" s="39" customFormat="1" ht="46.3" hidden="1" outlineLevel="1" x14ac:dyDescent="0.35">
      <c r="A1835" s="74"/>
      <c r="B1835" s="48" t="s">
        <v>505</v>
      </c>
      <c r="C1835" s="49" t="s">
        <v>251</v>
      </c>
      <c r="D1835" s="55">
        <v>2</v>
      </c>
      <c r="E1835" s="76"/>
      <c r="F1835" s="34"/>
      <c r="G1835" s="35"/>
      <c r="H1835" s="36"/>
      <c r="I1835" s="37"/>
      <c r="J1835" s="37"/>
      <c r="K1835" s="38"/>
      <c r="L1835" s="38"/>
      <c r="M1835" s="38"/>
      <c r="N1835" s="36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</row>
    <row r="1836" spans="1:28" s="39" customFormat="1" ht="46.3" hidden="1" outlineLevel="1" x14ac:dyDescent="0.35">
      <c r="A1836" s="74"/>
      <c r="B1836" s="48" t="s">
        <v>773</v>
      </c>
      <c r="C1836" s="49" t="s">
        <v>251</v>
      </c>
      <c r="D1836" s="55">
        <v>1</v>
      </c>
      <c r="E1836" s="76"/>
      <c r="F1836" s="34"/>
      <c r="G1836" s="35"/>
      <c r="H1836" s="36"/>
      <c r="I1836" s="37"/>
      <c r="J1836" s="37"/>
      <c r="K1836" s="38"/>
      <c r="L1836" s="38"/>
      <c r="M1836" s="38"/>
      <c r="N1836" s="36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</row>
    <row r="1837" spans="1:28" s="33" customFormat="1" ht="31" customHeight="1" collapsed="1" x14ac:dyDescent="0.35">
      <c r="A1837" s="24">
        <f>A1834+1</f>
        <v>780</v>
      </c>
      <c r="B1837" s="59" t="s">
        <v>148</v>
      </c>
      <c r="C1837" s="26" t="s">
        <v>58</v>
      </c>
      <c r="D1837" s="73">
        <v>1</v>
      </c>
      <c r="E1837" s="28"/>
      <c r="F1837" s="29"/>
      <c r="G1837" s="30"/>
      <c r="H1837" s="31"/>
      <c r="I1837" s="30"/>
      <c r="J1837" s="30"/>
      <c r="K1837" s="32"/>
      <c r="L1837" s="32"/>
      <c r="M1837" s="32"/>
      <c r="N1837" s="31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</row>
    <row r="1838" spans="1:28" s="39" customFormat="1" ht="32.15" hidden="1" customHeight="1" outlineLevel="1" x14ac:dyDescent="0.35">
      <c r="A1838" s="74"/>
      <c r="B1838" s="48" t="s">
        <v>149</v>
      </c>
      <c r="C1838" s="49" t="s">
        <v>251</v>
      </c>
      <c r="D1838" s="55">
        <v>1</v>
      </c>
      <c r="E1838" s="76"/>
      <c r="F1838" s="34"/>
      <c r="G1838" s="35"/>
      <c r="H1838" s="36"/>
      <c r="I1838" s="37"/>
      <c r="J1838" s="37"/>
      <c r="K1838" s="38"/>
      <c r="L1838" s="38"/>
      <c r="M1838" s="38"/>
      <c r="N1838" s="36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</row>
    <row r="1839" spans="1:28" s="33" customFormat="1" ht="30.9" collapsed="1" x14ac:dyDescent="0.35">
      <c r="A1839" s="24">
        <f>A1837+1</f>
        <v>781</v>
      </c>
      <c r="B1839" s="71" t="s">
        <v>528</v>
      </c>
      <c r="C1839" s="40" t="s">
        <v>132</v>
      </c>
      <c r="D1839" s="108">
        <v>9.1</v>
      </c>
      <c r="E1839" s="79" t="s">
        <v>151</v>
      </c>
      <c r="F1839" s="29"/>
      <c r="G1839" s="30"/>
      <c r="H1839" s="31"/>
      <c r="I1839" s="30"/>
      <c r="J1839" s="30"/>
      <c r="K1839" s="32"/>
      <c r="L1839" s="32"/>
      <c r="M1839" s="32"/>
      <c r="N1839" s="31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</row>
    <row r="1840" spans="1:28" s="39" customFormat="1" ht="36" hidden="1" customHeight="1" outlineLevel="1" x14ac:dyDescent="0.35">
      <c r="A1840" s="74"/>
      <c r="B1840" s="48" t="s">
        <v>529</v>
      </c>
      <c r="C1840" s="49" t="s">
        <v>14</v>
      </c>
      <c r="D1840" s="65">
        <f>9.1*12.28/1000*1.1</f>
        <v>0.1229228</v>
      </c>
      <c r="E1840" s="76"/>
      <c r="F1840" s="34"/>
      <c r="G1840" s="35"/>
      <c r="H1840" s="36"/>
      <c r="I1840" s="37"/>
      <c r="J1840" s="37"/>
      <c r="K1840" s="38"/>
      <c r="L1840" s="38"/>
      <c r="M1840" s="38"/>
      <c r="N1840" s="36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</row>
    <row r="1841" spans="1:28" s="58" customFormat="1" ht="30" hidden="1" customHeight="1" outlineLevel="1" x14ac:dyDescent="0.4">
      <c r="A1841" s="54"/>
      <c r="B1841" s="48" t="s">
        <v>530</v>
      </c>
      <c r="C1841" s="49" t="s">
        <v>58</v>
      </c>
      <c r="D1841" s="55">
        <v>5</v>
      </c>
      <c r="E1841" s="51">
        <v>1.2E-2</v>
      </c>
      <c r="F1841" s="57"/>
    </row>
    <row r="1842" spans="1:28" s="39" customFormat="1" ht="36" hidden="1" customHeight="1" outlineLevel="1" x14ac:dyDescent="0.35">
      <c r="A1842" s="74"/>
      <c r="B1842" s="48" t="s">
        <v>774</v>
      </c>
      <c r="C1842" s="49" t="s">
        <v>58</v>
      </c>
      <c r="D1842" s="49">
        <v>1</v>
      </c>
      <c r="E1842" s="78">
        <v>4.0000000000000001E-3</v>
      </c>
      <c r="F1842" s="34"/>
      <c r="G1842" s="35"/>
      <c r="H1842" s="36"/>
      <c r="I1842" s="37"/>
      <c r="J1842" s="37"/>
      <c r="K1842" s="38"/>
      <c r="L1842" s="38"/>
      <c r="M1842" s="38"/>
      <c r="N1842" s="36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</row>
    <row r="1843" spans="1:28" s="33" customFormat="1" ht="30.9" collapsed="1" x14ac:dyDescent="0.35">
      <c r="A1843" s="24">
        <f>A1839+1</f>
        <v>782</v>
      </c>
      <c r="B1843" s="71" t="s">
        <v>533</v>
      </c>
      <c r="C1843" s="40" t="s">
        <v>132</v>
      </c>
      <c r="D1843" s="108">
        <v>4.4000000000000004</v>
      </c>
      <c r="E1843" s="79" t="s">
        <v>151</v>
      </c>
      <c r="F1843" s="29"/>
      <c r="G1843" s="30"/>
      <c r="H1843" s="31"/>
      <c r="I1843" s="30"/>
      <c r="J1843" s="30"/>
      <c r="K1843" s="32"/>
      <c r="L1843" s="32"/>
      <c r="M1843" s="32"/>
      <c r="N1843" s="31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</row>
    <row r="1844" spans="1:28" s="39" customFormat="1" ht="36" hidden="1" customHeight="1" outlineLevel="1" x14ac:dyDescent="0.35">
      <c r="A1844" s="74"/>
      <c r="B1844" s="48" t="s">
        <v>534</v>
      </c>
      <c r="C1844" s="49" t="s">
        <v>14</v>
      </c>
      <c r="D1844" s="65">
        <f>4.4*15.98/1000*1.1</f>
        <v>7.7343200000000015E-2</v>
      </c>
      <c r="E1844" s="76"/>
      <c r="F1844" s="34"/>
      <c r="G1844" s="35"/>
      <c r="H1844" s="36"/>
      <c r="I1844" s="37"/>
      <c r="J1844" s="37"/>
      <c r="K1844" s="38"/>
      <c r="L1844" s="38"/>
      <c r="M1844" s="38"/>
      <c r="N1844" s="36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</row>
    <row r="1845" spans="1:28" s="58" customFormat="1" ht="30" hidden="1" customHeight="1" outlineLevel="1" x14ac:dyDescent="0.4">
      <c r="A1845" s="54"/>
      <c r="B1845" s="48" t="s">
        <v>535</v>
      </c>
      <c r="C1845" s="49" t="s">
        <v>58</v>
      </c>
      <c r="D1845" s="55">
        <v>3</v>
      </c>
      <c r="E1845" s="51">
        <v>1.0999999999999999E-2</v>
      </c>
      <c r="F1845" s="57"/>
    </row>
    <row r="1846" spans="1:28" s="39" customFormat="1" ht="36" hidden="1" customHeight="1" outlineLevel="1" x14ac:dyDescent="0.35">
      <c r="A1846" s="74"/>
      <c r="B1846" s="48" t="s">
        <v>775</v>
      </c>
      <c r="C1846" s="49" t="s">
        <v>58</v>
      </c>
      <c r="D1846" s="49">
        <v>1</v>
      </c>
      <c r="E1846" s="78">
        <v>1E-3</v>
      </c>
      <c r="F1846" s="34"/>
      <c r="G1846" s="35"/>
      <c r="H1846" s="36"/>
      <c r="I1846" s="37"/>
      <c r="J1846" s="37"/>
      <c r="K1846" s="38"/>
      <c r="L1846" s="38"/>
      <c r="M1846" s="38"/>
      <c r="N1846" s="36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</row>
    <row r="1847" spans="1:28" s="39" customFormat="1" ht="36" hidden="1" customHeight="1" outlineLevel="1" x14ac:dyDescent="0.35">
      <c r="A1847" s="74"/>
      <c r="B1847" s="48" t="s">
        <v>776</v>
      </c>
      <c r="C1847" s="49" t="s">
        <v>58</v>
      </c>
      <c r="D1847" s="49">
        <v>1</v>
      </c>
      <c r="E1847" s="78">
        <v>1E-3</v>
      </c>
      <c r="F1847" s="34"/>
      <c r="G1847" s="35"/>
      <c r="H1847" s="36"/>
      <c r="I1847" s="37"/>
      <c r="J1847" s="37"/>
      <c r="K1847" s="38"/>
      <c r="L1847" s="38"/>
      <c r="M1847" s="38"/>
      <c r="N1847" s="36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</row>
    <row r="1848" spans="1:28" s="58" customFormat="1" ht="30" customHeight="1" collapsed="1" x14ac:dyDescent="0.4">
      <c r="A1848" s="24">
        <f>A1843+1</f>
        <v>783</v>
      </c>
      <c r="B1848" s="59" t="s">
        <v>158</v>
      </c>
      <c r="C1848" s="70" t="s">
        <v>67</v>
      </c>
      <c r="D1848" s="40" t="s">
        <v>777</v>
      </c>
      <c r="E1848" s="66"/>
      <c r="F1848" s="57"/>
    </row>
    <row r="1849" spans="1:28" s="58" customFormat="1" ht="30" hidden="1" customHeight="1" outlineLevel="1" x14ac:dyDescent="0.4">
      <c r="A1849" s="54"/>
      <c r="B1849" s="48" t="s">
        <v>426</v>
      </c>
      <c r="C1849" s="49" t="s">
        <v>58</v>
      </c>
      <c r="D1849" s="55">
        <v>4</v>
      </c>
      <c r="E1849" s="51">
        <v>8.9999999999999993E-3</v>
      </c>
      <c r="F1849" s="57"/>
    </row>
    <row r="1850" spans="1:28" s="58" customFormat="1" ht="30" hidden="1" customHeight="1" outlineLevel="1" x14ac:dyDescent="0.4">
      <c r="A1850" s="54"/>
      <c r="B1850" s="48" t="s">
        <v>552</v>
      </c>
      <c r="C1850" s="49" t="s">
        <v>58</v>
      </c>
      <c r="D1850" s="55">
        <v>2</v>
      </c>
      <c r="E1850" s="51">
        <v>2E-3</v>
      </c>
      <c r="F1850" s="57"/>
    </row>
    <row r="1851" spans="1:28" s="58" customFormat="1" ht="30" hidden="1" customHeight="1" outlineLevel="1" x14ac:dyDescent="0.4">
      <c r="A1851" s="54"/>
      <c r="B1851" s="48" t="s">
        <v>160</v>
      </c>
      <c r="C1851" s="49" t="s">
        <v>58</v>
      </c>
      <c r="D1851" s="55">
        <v>1</v>
      </c>
      <c r="E1851" s="51">
        <v>2E-3</v>
      </c>
      <c r="F1851" s="57"/>
    </row>
    <row r="1852" spans="1:28" s="58" customFormat="1" ht="30" customHeight="1" collapsed="1" x14ac:dyDescent="0.4">
      <c r="A1852" s="24">
        <f>A1848+1</f>
        <v>784</v>
      </c>
      <c r="B1852" s="71" t="s">
        <v>240</v>
      </c>
      <c r="C1852" s="40" t="s">
        <v>58</v>
      </c>
      <c r="D1852" s="82">
        <v>3</v>
      </c>
      <c r="E1852" s="66"/>
      <c r="F1852" s="57"/>
    </row>
    <row r="1853" spans="1:28" s="58" customFormat="1" ht="30" hidden="1" customHeight="1" outlineLevel="1" x14ac:dyDescent="0.4">
      <c r="A1853" s="54"/>
      <c r="B1853" s="48" t="s">
        <v>241</v>
      </c>
      <c r="C1853" s="49" t="s">
        <v>14</v>
      </c>
      <c r="D1853" s="65">
        <f>0.6*1.88*D1852/1000</f>
        <v>3.3839999999999994E-3</v>
      </c>
      <c r="E1853" s="51"/>
      <c r="F1853" s="57"/>
    </row>
    <row r="1854" spans="1:28" s="58" customFormat="1" ht="30" hidden="1" customHeight="1" outlineLevel="1" x14ac:dyDescent="0.4">
      <c r="A1854" s="54"/>
      <c r="B1854" s="48" t="s">
        <v>242</v>
      </c>
      <c r="C1854" s="49" t="s">
        <v>58</v>
      </c>
      <c r="D1854" s="55">
        <f>4*D1852</f>
        <v>12</v>
      </c>
      <c r="E1854" s="51"/>
      <c r="F1854" s="57"/>
    </row>
    <row r="1855" spans="1:28" s="58" customFormat="1" ht="30" hidden="1" customHeight="1" outlineLevel="1" x14ac:dyDescent="0.4">
      <c r="A1855" s="54"/>
      <c r="B1855" s="48" t="s">
        <v>243</v>
      </c>
      <c r="C1855" s="49" t="s">
        <v>58</v>
      </c>
      <c r="D1855" s="55">
        <f>12*D1852</f>
        <v>36</v>
      </c>
      <c r="E1855" s="51"/>
      <c r="F1855" s="57"/>
    </row>
    <row r="1856" spans="1:28" s="58" customFormat="1" ht="30" hidden="1" customHeight="1" outlineLevel="1" x14ac:dyDescent="0.4">
      <c r="A1856" s="54"/>
      <c r="B1856" s="48" t="s">
        <v>244</v>
      </c>
      <c r="C1856" s="49" t="s">
        <v>58</v>
      </c>
      <c r="D1856" s="55">
        <f>4*D1852</f>
        <v>12</v>
      </c>
      <c r="E1856" s="51"/>
      <c r="F1856" s="57"/>
    </row>
    <row r="1857" spans="1:203" s="58" customFormat="1" ht="30" hidden="1" customHeight="1" outlineLevel="1" x14ac:dyDescent="0.4">
      <c r="A1857" s="54"/>
      <c r="B1857" s="48" t="s">
        <v>245</v>
      </c>
      <c r="C1857" s="49" t="s">
        <v>58</v>
      </c>
      <c r="D1857" s="55">
        <f>8*D1852</f>
        <v>24</v>
      </c>
      <c r="E1857" s="51"/>
      <c r="F1857" s="57"/>
    </row>
    <row r="1858" spans="1:203" s="58" customFormat="1" ht="30" hidden="1" customHeight="1" outlineLevel="1" x14ac:dyDescent="0.4">
      <c r="A1858" s="54"/>
      <c r="B1858" s="48" t="s">
        <v>246</v>
      </c>
      <c r="C1858" s="49" t="s">
        <v>58</v>
      </c>
      <c r="D1858" s="55">
        <f>16*D1852</f>
        <v>48</v>
      </c>
      <c r="E1858" s="51"/>
      <c r="F1858" s="57"/>
    </row>
    <row r="1859" spans="1:203" s="58" customFormat="1" ht="30" hidden="1" customHeight="1" outlineLevel="1" x14ac:dyDescent="0.4">
      <c r="A1859" s="54"/>
      <c r="B1859" s="48" t="s">
        <v>247</v>
      </c>
      <c r="C1859" s="49" t="s">
        <v>58</v>
      </c>
      <c r="D1859" s="55">
        <f>16*D1852</f>
        <v>48</v>
      </c>
      <c r="E1859" s="51"/>
      <c r="F1859" s="57"/>
    </row>
    <row r="1860" spans="1:203" s="45" customFormat="1" ht="36" customHeight="1" collapsed="1" x14ac:dyDescent="0.35">
      <c r="A1860" s="24">
        <f>A1852+1</f>
        <v>785</v>
      </c>
      <c r="B1860" s="59" t="s">
        <v>72</v>
      </c>
      <c r="C1860" s="26" t="s">
        <v>29</v>
      </c>
      <c r="D1860" s="104">
        <f>2.54+1.58</f>
        <v>4.12</v>
      </c>
      <c r="E1860" s="41"/>
      <c r="F1860" s="42"/>
      <c r="G1860" s="43"/>
      <c r="H1860" s="44"/>
      <c r="I1860" s="43"/>
      <c r="J1860" s="43"/>
      <c r="N1860" s="44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  <c r="BP1860" s="46"/>
      <c r="BQ1860" s="46"/>
      <c r="BR1860" s="46"/>
      <c r="BS1860" s="46"/>
      <c r="BT1860" s="46"/>
      <c r="BU1860" s="46"/>
      <c r="BV1860" s="46"/>
      <c r="BW1860" s="46"/>
      <c r="BX1860" s="46"/>
      <c r="BY1860" s="46"/>
      <c r="BZ1860" s="46"/>
      <c r="CA1860" s="46"/>
      <c r="CB1860" s="46"/>
      <c r="CC1860" s="46"/>
      <c r="CD1860" s="46"/>
      <c r="CE1860" s="46"/>
      <c r="CF1860" s="46"/>
      <c r="CG1860" s="46"/>
      <c r="CH1860" s="46"/>
      <c r="CI1860" s="46"/>
      <c r="CJ1860" s="46"/>
      <c r="CK1860" s="46"/>
      <c r="CL1860" s="46"/>
      <c r="CM1860" s="46"/>
      <c r="CN1860" s="46"/>
      <c r="CO1860" s="46"/>
      <c r="CP1860" s="46"/>
      <c r="CQ1860" s="46"/>
      <c r="CR1860" s="46"/>
      <c r="CS1860" s="46"/>
      <c r="CT1860" s="46"/>
      <c r="CU1860" s="46"/>
      <c r="CV1860" s="46"/>
      <c r="CW1860" s="46"/>
      <c r="CX1860" s="46"/>
      <c r="CY1860" s="46"/>
      <c r="CZ1860" s="46"/>
      <c r="DA1860" s="46"/>
      <c r="DB1860" s="46"/>
      <c r="DC1860" s="46"/>
      <c r="DD1860" s="46"/>
      <c r="DE1860" s="46"/>
      <c r="DF1860" s="46"/>
      <c r="DG1860" s="46"/>
      <c r="DH1860" s="46"/>
      <c r="DI1860" s="46"/>
      <c r="DJ1860" s="46"/>
      <c r="DK1860" s="46"/>
      <c r="DL1860" s="46"/>
      <c r="DM1860" s="46"/>
      <c r="DN1860" s="46"/>
      <c r="DO1860" s="46"/>
      <c r="DP1860" s="46"/>
      <c r="DQ1860" s="46"/>
      <c r="DR1860" s="46"/>
      <c r="DS1860" s="46"/>
      <c r="DT1860" s="46"/>
      <c r="DU1860" s="46"/>
      <c r="DV1860" s="46"/>
      <c r="DW1860" s="46"/>
      <c r="DX1860" s="46"/>
      <c r="DY1860" s="46"/>
      <c r="DZ1860" s="46"/>
      <c r="EA1860" s="46"/>
      <c r="EB1860" s="46"/>
      <c r="EC1860" s="46"/>
      <c r="ED1860" s="46"/>
      <c r="EE1860" s="46"/>
      <c r="EF1860" s="46"/>
      <c r="EG1860" s="46"/>
      <c r="EH1860" s="46"/>
      <c r="EI1860" s="46"/>
      <c r="EJ1860" s="46"/>
      <c r="EK1860" s="46"/>
      <c r="EL1860" s="46"/>
      <c r="EM1860" s="46"/>
      <c r="EN1860" s="46"/>
      <c r="EO1860" s="46"/>
      <c r="EP1860" s="46"/>
      <c r="EQ1860" s="46"/>
      <c r="ER1860" s="46"/>
      <c r="ES1860" s="46"/>
      <c r="ET1860" s="46"/>
      <c r="EU1860" s="46"/>
      <c r="EV1860" s="46"/>
      <c r="EW1860" s="46"/>
      <c r="EX1860" s="46"/>
      <c r="EY1860" s="46"/>
      <c r="EZ1860" s="46"/>
      <c r="FA1860" s="46"/>
      <c r="FB1860" s="46"/>
      <c r="FC1860" s="46"/>
      <c r="FD1860" s="46"/>
      <c r="FE1860" s="46"/>
      <c r="FF1860" s="46"/>
      <c r="FG1860" s="46"/>
      <c r="FH1860" s="46"/>
      <c r="FI1860" s="46"/>
      <c r="FJ1860" s="46"/>
      <c r="FK1860" s="46"/>
      <c r="FL1860" s="46"/>
      <c r="FM1860" s="46"/>
      <c r="FN1860" s="46"/>
      <c r="FO1860" s="46"/>
      <c r="FP1860" s="46"/>
      <c r="FQ1860" s="46"/>
      <c r="FR1860" s="46"/>
      <c r="FS1860" s="46"/>
      <c r="FT1860" s="46"/>
      <c r="FU1860" s="46"/>
      <c r="FV1860" s="46"/>
      <c r="FW1860" s="46"/>
      <c r="FX1860" s="46"/>
      <c r="FY1860" s="46"/>
      <c r="FZ1860" s="46"/>
      <c r="GA1860" s="46"/>
      <c r="GB1860" s="46"/>
      <c r="GC1860" s="46"/>
      <c r="GD1860" s="46"/>
      <c r="GE1860" s="46"/>
      <c r="GF1860" s="46"/>
      <c r="GG1860" s="46"/>
      <c r="GH1860" s="46"/>
      <c r="GI1860" s="46"/>
      <c r="GJ1860" s="46"/>
      <c r="GK1860" s="46"/>
      <c r="GL1860" s="46"/>
      <c r="GM1860" s="46"/>
      <c r="GN1860" s="46"/>
      <c r="GO1860" s="46"/>
      <c r="GP1860" s="46"/>
      <c r="GQ1860" s="46"/>
      <c r="GR1860" s="46"/>
      <c r="GS1860" s="46"/>
      <c r="GT1860" s="46"/>
      <c r="GU1860" s="46"/>
    </row>
    <row r="1861" spans="1:203" s="58" customFormat="1" ht="30" hidden="1" customHeight="1" outlineLevel="1" x14ac:dyDescent="0.4">
      <c r="A1861" s="54"/>
      <c r="B1861" s="48" t="s">
        <v>73</v>
      </c>
      <c r="C1861" s="49" t="s">
        <v>74</v>
      </c>
      <c r="D1861" s="68">
        <f>3.31*D1860</f>
        <v>13.6372</v>
      </c>
      <c r="E1861" s="69">
        <v>1.4E-2</v>
      </c>
      <c r="F1861" s="57"/>
    </row>
    <row r="1862" spans="1:203" s="45" customFormat="1" ht="36" customHeight="1" collapsed="1" x14ac:dyDescent="0.35">
      <c r="A1862" s="24">
        <f>A1860+1</f>
        <v>786</v>
      </c>
      <c r="B1862" s="59" t="s">
        <v>75</v>
      </c>
      <c r="C1862" s="26" t="s">
        <v>29</v>
      </c>
      <c r="D1862" s="104">
        <f>2.54+1.58</f>
        <v>4.12</v>
      </c>
      <c r="E1862" s="41"/>
      <c r="F1862" s="42"/>
      <c r="G1862" s="43"/>
      <c r="H1862" s="44"/>
      <c r="I1862" s="43"/>
      <c r="J1862" s="43"/>
      <c r="N1862" s="44"/>
      <c r="AC1862" s="46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  <c r="BP1862" s="46"/>
      <c r="BQ1862" s="46"/>
      <c r="BR1862" s="46"/>
      <c r="BS1862" s="46"/>
      <c r="BT1862" s="46"/>
      <c r="BU1862" s="46"/>
      <c r="BV1862" s="46"/>
      <c r="BW1862" s="46"/>
      <c r="BX1862" s="46"/>
      <c r="BY1862" s="46"/>
      <c r="BZ1862" s="46"/>
      <c r="CA1862" s="46"/>
      <c r="CB1862" s="46"/>
      <c r="CC1862" s="46"/>
      <c r="CD1862" s="46"/>
      <c r="CE1862" s="46"/>
      <c r="CF1862" s="46"/>
      <c r="CG1862" s="46"/>
      <c r="CH1862" s="46"/>
      <c r="CI1862" s="46"/>
      <c r="CJ1862" s="46"/>
      <c r="CK1862" s="46"/>
      <c r="CL1862" s="46"/>
      <c r="CM1862" s="46"/>
      <c r="CN1862" s="46"/>
      <c r="CO1862" s="46"/>
      <c r="CP1862" s="46"/>
      <c r="CQ1862" s="46"/>
      <c r="CR1862" s="46"/>
      <c r="CS1862" s="46"/>
      <c r="CT1862" s="46"/>
      <c r="CU1862" s="46"/>
      <c r="CV1862" s="46"/>
      <c r="CW1862" s="46"/>
      <c r="CX1862" s="46"/>
      <c r="CY1862" s="46"/>
      <c r="CZ1862" s="46"/>
      <c r="DA1862" s="46"/>
      <c r="DB1862" s="46"/>
      <c r="DC1862" s="46"/>
      <c r="DD1862" s="46"/>
      <c r="DE1862" s="46"/>
      <c r="DF1862" s="46"/>
      <c r="DG1862" s="46"/>
      <c r="DH1862" s="46"/>
      <c r="DI1862" s="46"/>
      <c r="DJ1862" s="46"/>
      <c r="DK1862" s="46"/>
      <c r="DL1862" s="46"/>
      <c r="DM1862" s="46"/>
      <c r="DN1862" s="46"/>
      <c r="DO1862" s="46"/>
      <c r="DP1862" s="46"/>
      <c r="DQ1862" s="46"/>
      <c r="DR1862" s="46"/>
      <c r="DS1862" s="46"/>
      <c r="DT1862" s="46"/>
      <c r="DU1862" s="46"/>
      <c r="DV1862" s="46"/>
      <c r="DW1862" s="46"/>
      <c r="DX1862" s="46"/>
      <c r="DY1862" s="46"/>
      <c r="DZ1862" s="46"/>
      <c r="EA1862" s="46"/>
      <c r="EB1862" s="46"/>
      <c r="EC1862" s="46"/>
      <c r="ED1862" s="46"/>
      <c r="EE1862" s="46"/>
      <c r="EF1862" s="46"/>
      <c r="EG1862" s="46"/>
      <c r="EH1862" s="46"/>
      <c r="EI1862" s="46"/>
      <c r="EJ1862" s="46"/>
      <c r="EK1862" s="46"/>
      <c r="EL1862" s="46"/>
      <c r="EM1862" s="46"/>
      <c r="EN1862" s="46"/>
      <c r="EO1862" s="46"/>
      <c r="EP1862" s="46"/>
      <c r="EQ1862" s="46"/>
      <c r="ER1862" s="46"/>
      <c r="ES1862" s="46"/>
      <c r="ET1862" s="46"/>
      <c r="EU1862" s="46"/>
      <c r="EV1862" s="46"/>
      <c r="EW1862" s="46"/>
      <c r="EX1862" s="46"/>
      <c r="EY1862" s="46"/>
      <c r="EZ1862" s="46"/>
      <c r="FA1862" s="46"/>
      <c r="FB1862" s="46"/>
      <c r="FC1862" s="46"/>
      <c r="FD1862" s="46"/>
      <c r="FE1862" s="46"/>
      <c r="FF1862" s="46"/>
      <c r="FG1862" s="46"/>
      <c r="FH1862" s="46"/>
      <c r="FI1862" s="46"/>
      <c r="FJ1862" s="46"/>
      <c r="FK1862" s="46"/>
      <c r="FL1862" s="46"/>
      <c r="FM1862" s="46"/>
      <c r="FN1862" s="46"/>
      <c r="FO1862" s="46"/>
      <c r="FP1862" s="46"/>
      <c r="FQ1862" s="46"/>
      <c r="FR1862" s="46"/>
      <c r="FS1862" s="46"/>
      <c r="FT1862" s="46"/>
      <c r="FU1862" s="46"/>
      <c r="FV1862" s="46"/>
      <c r="FW1862" s="46"/>
      <c r="FX1862" s="46"/>
      <c r="FY1862" s="46"/>
      <c r="FZ1862" s="46"/>
      <c r="GA1862" s="46"/>
      <c r="GB1862" s="46"/>
      <c r="GC1862" s="46"/>
      <c r="GD1862" s="46"/>
      <c r="GE1862" s="46"/>
      <c r="GF1862" s="46"/>
      <c r="GG1862" s="46"/>
      <c r="GH1862" s="46"/>
      <c r="GI1862" s="46"/>
      <c r="GJ1862" s="46"/>
      <c r="GK1862" s="46"/>
      <c r="GL1862" s="46"/>
      <c r="GM1862" s="46"/>
      <c r="GN1862" s="46"/>
      <c r="GO1862" s="46"/>
      <c r="GP1862" s="46"/>
      <c r="GQ1862" s="46"/>
      <c r="GR1862" s="46"/>
      <c r="GS1862" s="46"/>
      <c r="GT1862" s="46"/>
      <c r="GU1862" s="46"/>
    </row>
    <row r="1863" spans="1:203" s="45" customFormat="1" ht="36" customHeight="1" x14ac:dyDescent="0.35">
      <c r="A1863" s="24">
        <f>A1862+1</f>
        <v>787</v>
      </c>
      <c r="B1863" s="59" t="s">
        <v>76</v>
      </c>
      <c r="C1863" s="26" t="s">
        <v>29</v>
      </c>
      <c r="D1863" s="104">
        <f>2.54+1.58</f>
        <v>4.12</v>
      </c>
      <c r="E1863" s="41"/>
      <c r="F1863" s="42"/>
      <c r="G1863" s="43"/>
      <c r="H1863" s="44"/>
      <c r="I1863" s="43"/>
      <c r="J1863" s="43"/>
      <c r="N1863" s="44"/>
      <c r="AC1863" s="46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  <c r="BP1863" s="46"/>
      <c r="BQ1863" s="46"/>
      <c r="BR1863" s="46"/>
      <c r="BS1863" s="46"/>
      <c r="BT1863" s="46"/>
      <c r="BU1863" s="46"/>
      <c r="BV1863" s="46"/>
      <c r="BW1863" s="46"/>
      <c r="BX1863" s="46"/>
      <c r="BY1863" s="46"/>
      <c r="BZ1863" s="46"/>
      <c r="CA1863" s="46"/>
      <c r="CB1863" s="46"/>
      <c r="CC1863" s="46"/>
      <c r="CD1863" s="46"/>
      <c r="CE1863" s="46"/>
      <c r="CF1863" s="46"/>
      <c r="CG1863" s="46"/>
      <c r="CH1863" s="46"/>
      <c r="CI1863" s="46"/>
      <c r="CJ1863" s="46"/>
      <c r="CK1863" s="46"/>
      <c r="CL1863" s="46"/>
      <c r="CM1863" s="46"/>
      <c r="CN1863" s="46"/>
      <c r="CO1863" s="46"/>
      <c r="CP1863" s="46"/>
      <c r="CQ1863" s="46"/>
      <c r="CR1863" s="46"/>
      <c r="CS1863" s="46"/>
      <c r="CT1863" s="46"/>
      <c r="CU1863" s="46"/>
      <c r="CV1863" s="46"/>
      <c r="CW1863" s="46"/>
      <c r="CX1863" s="46"/>
      <c r="CY1863" s="46"/>
      <c r="CZ1863" s="46"/>
      <c r="DA1863" s="46"/>
      <c r="DB1863" s="46"/>
      <c r="DC1863" s="46"/>
      <c r="DD1863" s="46"/>
      <c r="DE1863" s="46"/>
      <c r="DF1863" s="46"/>
      <c r="DG1863" s="46"/>
      <c r="DH1863" s="46"/>
      <c r="DI1863" s="46"/>
      <c r="DJ1863" s="46"/>
      <c r="DK1863" s="46"/>
      <c r="DL1863" s="46"/>
      <c r="DM1863" s="46"/>
      <c r="DN1863" s="46"/>
      <c r="DO1863" s="46"/>
      <c r="DP1863" s="46"/>
      <c r="DQ1863" s="46"/>
      <c r="DR1863" s="46"/>
      <c r="DS1863" s="46"/>
      <c r="DT1863" s="46"/>
      <c r="DU1863" s="46"/>
      <c r="DV1863" s="46"/>
      <c r="DW1863" s="46"/>
      <c r="DX1863" s="46"/>
      <c r="DY1863" s="46"/>
      <c r="DZ1863" s="46"/>
      <c r="EA1863" s="46"/>
      <c r="EB1863" s="46"/>
      <c r="EC1863" s="46"/>
      <c r="ED1863" s="46"/>
      <c r="EE1863" s="46"/>
      <c r="EF1863" s="46"/>
      <c r="EG1863" s="46"/>
      <c r="EH1863" s="46"/>
      <c r="EI1863" s="46"/>
      <c r="EJ1863" s="46"/>
      <c r="EK1863" s="46"/>
      <c r="EL1863" s="46"/>
      <c r="EM1863" s="46"/>
      <c r="EN1863" s="46"/>
      <c r="EO1863" s="46"/>
      <c r="EP1863" s="46"/>
      <c r="EQ1863" s="46"/>
      <c r="ER1863" s="46"/>
      <c r="ES1863" s="46"/>
      <c r="ET1863" s="46"/>
      <c r="EU1863" s="46"/>
      <c r="EV1863" s="46"/>
      <c r="EW1863" s="46"/>
      <c r="EX1863" s="46"/>
      <c r="EY1863" s="46"/>
      <c r="EZ1863" s="46"/>
      <c r="FA1863" s="46"/>
      <c r="FB1863" s="46"/>
      <c r="FC1863" s="46"/>
      <c r="FD1863" s="46"/>
      <c r="FE1863" s="46"/>
      <c r="FF1863" s="46"/>
      <c r="FG1863" s="46"/>
      <c r="FH1863" s="46"/>
      <c r="FI1863" s="46"/>
      <c r="FJ1863" s="46"/>
      <c r="FK1863" s="46"/>
      <c r="FL1863" s="46"/>
      <c r="FM1863" s="46"/>
      <c r="FN1863" s="46"/>
      <c r="FO1863" s="46"/>
      <c r="FP1863" s="46"/>
      <c r="FQ1863" s="46"/>
      <c r="FR1863" s="46"/>
      <c r="FS1863" s="46"/>
      <c r="FT1863" s="46"/>
      <c r="FU1863" s="46"/>
      <c r="FV1863" s="46"/>
      <c r="FW1863" s="46"/>
      <c r="FX1863" s="46"/>
      <c r="FY1863" s="46"/>
      <c r="FZ1863" s="46"/>
      <c r="GA1863" s="46"/>
      <c r="GB1863" s="46"/>
      <c r="GC1863" s="46"/>
      <c r="GD1863" s="46"/>
      <c r="GE1863" s="46"/>
      <c r="GF1863" s="46"/>
      <c r="GG1863" s="46"/>
      <c r="GH1863" s="46"/>
      <c r="GI1863" s="46"/>
      <c r="GJ1863" s="46"/>
      <c r="GK1863" s="46"/>
      <c r="GL1863" s="46"/>
      <c r="GM1863" s="46"/>
      <c r="GN1863" s="46"/>
      <c r="GO1863" s="46"/>
      <c r="GP1863" s="46"/>
      <c r="GQ1863" s="46"/>
      <c r="GR1863" s="46"/>
      <c r="GS1863" s="46"/>
      <c r="GT1863" s="46"/>
      <c r="GU1863" s="46"/>
    </row>
    <row r="1864" spans="1:203" s="58" customFormat="1" ht="30" customHeight="1" x14ac:dyDescent="0.4">
      <c r="A1864" s="24">
        <f>A1863+1</f>
        <v>788</v>
      </c>
      <c r="B1864" s="59" t="s">
        <v>77</v>
      </c>
      <c r="C1864" s="70" t="s">
        <v>29</v>
      </c>
      <c r="D1864" s="104">
        <f>2.54+1.58</f>
        <v>4.12</v>
      </c>
      <c r="E1864" s="66"/>
      <c r="F1864" s="57"/>
    </row>
    <row r="1865" spans="1:203" s="58" customFormat="1" ht="30" hidden="1" customHeight="1" outlineLevel="1" x14ac:dyDescent="0.4">
      <c r="A1865" s="54"/>
      <c r="B1865" s="48" t="s">
        <v>78</v>
      </c>
      <c r="C1865" s="49" t="s">
        <v>74</v>
      </c>
      <c r="D1865" s="68">
        <f>D1864*0.255</f>
        <v>1.0506</v>
      </c>
      <c r="E1865" s="69">
        <v>1E-3</v>
      </c>
      <c r="F1865" s="57"/>
    </row>
    <row r="1866" spans="1:203" s="58" customFormat="1" ht="30" customHeight="1" collapsed="1" x14ac:dyDescent="0.4">
      <c r="A1866" s="24">
        <f>A1864+1</f>
        <v>789</v>
      </c>
      <c r="B1866" s="59" t="s">
        <v>79</v>
      </c>
      <c r="C1866" s="70" t="s">
        <v>29</v>
      </c>
      <c r="D1866" s="104">
        <f>2.54+1.58</f>
        <v>4.12</v>
      </c>
      <c r="E1866" s="66"/>
      <c r="F1866" s="57"/>
    </row>
    <row r="1867" spans="1:203" s="58" customFormat="1" ht="30" hidden="1" customHeight="1" outlineLevel="1" x14ac:dyDescent="0.4">
      <c r="A1867" s="54"/>
      <c r="B1867" s="48" t="s">
        <v>80</v>
      </c>
      <c r="C1867" s="49" t="s">
        <v>74</v>
      </c>
      <c r="D1867" s="68">
        <f>D1866*0.36*2</f>
        <v>2.9664000000000001</v>
      </c>
      <c r="E1867" s="69">
        <v>3.0000000000000001E-3</v>
      </c>
      <c r="F1867" s="57"/>
    </row>
    <row r="1868" spans="1:203" s="58" customFormat="1" ht="30" customHeight="1" collapsed="1" x14ac:dyDescent="0.4">
      <c r="A1868" s="24">
        <f>A1866+1</f>
        <v>790</v>
      </c>
      <c r="B1868" s="59" t="s">
        <v>368</v>
      </c>
      <c r="C1868" s="70" t="s">
        <v>58</v>
      </c>
      <c r="D1868" s="40">
        <v>3</v>
      </c>
      <c r="E1868" s="66"/>
      <c r="F1868" s="57"/>
    </row>
    <row r="1869" spans="1:203" s="58" customFormat="1" ht="30" hidden="1" customHeight="1" outlineLevel="1" x14ac:dyDescent="0.4">
      <c r="A1869" s="54"/>
      <c r="B1869" s="48" t="s">
        <v>556</v>
      </c>
      <c r="C1869" s="49" t="s">
        <v>58</v>
      </c>
      <c r="D1869" s="75">
        <v>3</v>
      </c>
      <c r="E1869" s="51"/>
      <c r="F1869" s="57"/>
    </row>
    <row r="1870" spans="1:203" s="58" customFormat="1" ht="46.3" collapsed="1" x14ac:dyDescent="0.4">
      <c r="A1870" s="24">
        <f>A1868+1</f>
        <v>791</v>
      </c>
      <c r="B1870" s="59" t="s">
        <v>364</v>
      </c>
      <c r="C1870" s="70" t="s">
        <v>19</v>
      </c>
      <c r="D1870" s="67">
        <v>0.28000000000000003</v>
      </c>
      <c r="E1870" s="66"/>
      <c r="F1870" s="57"/>
    </row>
    <row r="1871" spans="1:203" s="58" customFormat="1" ht="30.9" hidden="1" outlineLevel="1" x14ac:dyDescent="0.4">
      <c r="A1871" s="54"/>
      <c r="B1871" s="48" t="s">
        <v>365</v>
      </c>
      <c r="C1871" s="49" t="s">
        <v>19</v>
      </c>
      <c r="D1871" s="68">
        <v>0.28000000000000003</v>
      </c>
      <c r="E1871" s="69">
        <v>1E-3</v>
      </c>
      <c r="F1871" s="57"/>
      <c r="J1871" s="58">
        <v>1.08</v>
      </c>
    </row>
    <row r="1872" spans="1:203" s="58" customFormat="1" ht="30" customHeight="1" collapsed="1" x14ac:dyDescent="0.4">
      <c r="A1872" s="24">
        <f>A1870+1</f>
        <v>792</v>
      </c>
      <c r="B1872" s="59" t="s">
        <v>366</v>
      </c>
      <c r="C1872" s="70" t="s">
        <v>29</v>
      </c>
      <c r="D1872" s="67">
        <v>4.3</v>
      </c>
      <c r="E1872" s="66"/>
      <c r="F1872" s="57"/>
    </row>
    <row r="1873" spans="1:28" s="58" customFormat="1" ht="30" hidden="1" customHeight="1" outlineLevel="1" x14ac:dyDescent="0.4">
      <c r="A1873" s="54"/>
      <c r="B1873" s="48" t="s">
        <v>367</v>
      </c>
      <c r="C1873" s="49" t="s">
        <v>29</v>
      </c>
      <c r="D1873" s="68">
        <v>4.3</v>
      </c>
      <c r="E1873" s="69"/>
      <c r="F1873" s="57"/>
      <c r="J1873" s="58">
        <v>1.22</v>
      </c>
    </row>
    <row r="1874" spans="1:28" ht="31" customHeight="1" collapsed="1" x14ac:dyDescent="0.35">
      <c r="A1874" s="24">
        <f>A1872+1</f>
        <v>793</v>
      </c>
      <c r="B1874" s="25" t="s">
        <v>562</v>
      </c>
      <c r="C1874" s="70" t="s">
        <v>561</v>
      </c>
      <c r="D1874" s="26">
        <v>60</v>
      </c>
      <c r="E1874" s="41"/>
      <c r="F1874" s="42"/>
    </row>
    <row r="1875" spans="1:28" ht="31" customHeight="1" x14ac:dyDescent="0.35">
      <c r="A1875" s="24">
        <f>A1874+1</f>
        <v>794</v>
      </c>
      <c r="B1875" s="25" t="s">
        <v>566</v>
      </c>
      <c r="C1875" s="70" t="s">
        <v>561</v>
      </c>
      <c r="D1875" s="26">
        <v>60</v>
      </c>
      <c r="E1875" s="41"/>
      <c r="F1875" s="42"/>
    </row>
    <row r="1876" spans="1:28" ht="31" customHeight="1" x14ac:dyDescent="0.35">
      <c r="A1876" s="24">
        <f>A1875+1</f>
        <v>795</v>
      </c>
      <c r="B1876" s="25" t="s">
        <v>572</v>
      </c>
      <c r="C1876" s="89" t="s">
        <v>570</v>
      </c>
      <c r="D1876" s="26">
        <v>60</v>
      </c>
      <c r="E1876" s="41"/>
      <c r="F1876" s="42"/>
    </row>
    <row r="1877" spans="1:28" s="39" customFormat="1" ht="21" customHeight="1" x14ac:dyDescent="0.35">
      <c r="A1877" s="158" t="s">
        <v>761</v>
      </c>
      <c r="B1877" s="158"/>
      <c r="C1877" s="158"/>
      <c r="D1877" s="158"/>
      <c r="E1877" s="158"/>
      <c r="F1877" s="34"/>
      <c r="G1877" s="35"/>
      <c r="H1877" s="36"/>
      <c r="I1877" s="37"/>
      <c r="J1877" s="37"/>
      <c r="K1877" s="38"/>
      <c r="L1877" s="38"/>
      <c r="M1877" s="38"/>
      <c r="N1877" s="36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</row>
    <row r="1878" spans="1:28" s="58" customFormat="1" ht="30" customHeight="1" x14ac:dyDescent="0.4">
      <c r="A1878" s="72">
        <f>A1876+1</f>
        <v>796</v>
      </c>
      <c r="B1878" s="25" t="s">
        <v>308</v>
      </c>
      <c r="C1878" s="89" t="s">
        <v>19</v>
      </c>
      <c r="D1878" s="105">
        <f>0.7*0.5*44</f>
        <v>15.399999999999999</v>
      </c>
      <c r="E1878" s="91"/>
      <c r="F1878" s="57"/>
    </row>
    <row r="1879" spans="1:28" s="58" customFormat="1" ht="30" customHeight="1" x14ac:dyDescent="0.4">
      <c r="A1879" s="72">
        <f>A1878+1</f>
        <v>797</v>
      </c>
      <c r="B1879" s="25" t="s">
        <v>309</v>
      </c>
      <c r="C1879" s="89" t="s">
        <v>19</v>
      </c>
      <c r="D1879" s="105">
        <f>0.7*0.5*44</f>
        <v>15.399999999999999</v>
      </c>
      <c r="E1879" s="91"/>
      <c r="F1879" s="57"/>
    </row>
    <row r="1880" spans="1:28" s="58" customFormat="1" ht="30" customHeight="1" x14ac:dyDescent="0.4">
      <c r="A1880" s="24">
        <f>A1879+1</f>
        <v>798</v>
      </c>
      <c r="B1880" s="25" t="s">
        <v>310</v>
      </c>
      <c r="C1880" s="89" t="s">
        <v>19</v>
      </c>
      <c r="D1880" s="105">
        <f>0.7*0.5*44</f>
        <v>15.399999999999999</v>
      </c>
      <c r="E1880" s="91"/>
      <c r="F1880" s="57"/>
    </row>
    <row r="1881" spans="1:28" s="58" customFormat="1" ht="30" customHeight="1" x14ac:dyDescent="0.4">
      <c r="A1881" s="24">
        <f>A1880+1</f>
        <v>799</v>
      </c>
      <c r="B1881" s="59" t="s">
        <v>403</v>
      </c>
      <c r="C1881" s="70" t="s">
        <v>132</v>
      </c>
      <c r="D1881" s="40">
        <v>44</v>
      </c>
      <c r="E1881" s="66"/>
      <c r="F1881" s="57"/>
    </row>
    <row r="1882" spans="1:28" s="58" customFormat="1" ht="30" hidden="1" customHeight="1" outlineLevel="1" x14ac:dyDescent="0.4">
      <c r="A1882" s="54"/>
      <c r="B1882" s="48" t="s">
        <v>404</v>
      </c>
      <c r="C1882" s="49" t="s">
        <v>14</v>
      </c>
      <c r="D1882" s="65">
        <f>44*1.26/1000</f>
        <v>5.5439999999999996E-2</v>
      </c>
      <c r="E1882" s="51">
        <v>5.5E-2</v>
      </c>
      <c r="F1882" s="57"/>
    </row>
    <row r="1883" spans="1:28" ht="36" customHeight="1" collapsed="1" x14ac:dyDescent="0.35">
      <c r="A1883" s="24">
        <f>A1881+1</f>
        <v>800</v>
      </c>
      <c r="B1883" s="59" t="s">
        <v>405</v>
      </c>
      <c r="C1883" s="26" t="s">
        <v>58</v>
      </c>
      <c r="D1883" s="82">
        <v>4</v>
      </c>
      <c r="E1883" s="41"/>
      <c r="F1883" s="42"/>
    </row>
    <row r="1884" spans="1:28" s="58" customFormat="1" ht="30" hidden="1" customHeight="1" outlineLevel="1" x14ac:dyDescent="0.4">
      <c r="A1884" s="54"/>
      <c r="B1884" s="48" t="s">
        <v>406</v>
      </c>
      <c r="C1884" s="49" t="s">
        <v>14</v>
      </c>
      <c r="D1884" s="65">
        <f>20*1.58/1000</f>
        <v>3.1600000000000003E-2</v>
      </c>
      <c r="E1884" s="51">
        <v>3.2000000000000001E-2</v>
      </c>
      <c r="F1884" s="57"/>
    </row>
    <row r="1885" spans="1:28" s="58" customFormat="1" ht="30" customHeight="1" collapsed="1" x14ac:dyDescent="0.4">
      <c r="A1885" s="24">
        <f>A1883+1</f>
        <v>801</v>
      </c>
      <c r="B1885" s="71" t="s">
        <v>315</v>
      </c>
      <c r="C1885" s="40" t="s">
        <v>132</v>
      </c>
      <c r="D1885" s="40">
        <v>43</v>
      </c>
      <c r="E1885" s="66"/>
      <c r="F1885" s="57"/>
    </row>
    <row r="1886" spans="1:28" s="58" customFormat="1" ht="30" hidden="1" customHeight="1" outlineLevel="1" x14ac:dyDescent="0.4">
      <c r="A1886" s="87"/>
      <c r="B1886" s="48" t="s">
        <v>314</v>
      </c>
      <c r="C1886" s="75" t="s">
        <v>14</v>
      </c>
      <c r="D1886" s="65">
        <f>43*1.26/1000</f>
        <v>5.4179999999999999E-2</v>
      </c>
      <c r="E1886" s="88">
        <v>5.3999999999999999E-2</v>
      </c>
      <c r="F1886" s="57"/>
    </row>
    <row r="1887" spans="1:28" ht="36" customHeight="1" collapsed="1" x14ac:dyDescent="0.35">
      <c r="A1887" s="24">
        <f>A1885+1</f>
        <v>802</v>
      </c>
      <c r="B1887" s="59" t="s">
        <v>316</v>
      </c>
      <c r="C1887" s="26" t="s">
        <v>132</v>
      </c>
      <c r="D1887" s="82">
        <v>10</v>
      </c>
      <c r="E1887" s="41"/>
      <c r="F1887" s="42"/>
    </row>
    <row r="1888" spans="1:28" s="58" customFormat="1" ht="30" hidden="1" customHeight="1" outlineLevel="1" x14ac:dyDescent="0.4">
      <c r="A1888" s="54"/>
      <c r="B1888" s="48" t="s">
        <v>407</v>
      </c>
      <c r="C1888" s="49" t="s">
        <v>132</v>
      </c>
      <c r="D1888" s="55">
        <v>10</v>
      </c>
      <c r="E1888" s="51"/>
      <c r="F1888" s="57"/>
    </row>
    <row r="1889" spans="1:28" s="58" customFormat="1" ht="30" hidden="1" customHeight="1" outlineLevel="1" x14ac:dyDescent="0.4">
      <c r="A1889" s="54"/>
      <c r="B1889" s="48" t="s">
        <v>408</v>
      </c>
      <c r="C1889" s="49" t="s">
        <v>58</v>
      </c>
      <c r="D1889" s="55">
        <v>20</v>
      </c>
      <c r="E1889" s="51"/>
      <c r="F1889" s="57"/>
    </row>
    <row r="1890" spans="1:28" s="58" customFormat="1" ht="30" hidden="1" customHeight="1" outlineLevel="1" x14ac:dyDescent="0.4">
      <c r="A1890" s="54"/>
      <c r="B1890" s="48" t="s">
        <v>409</v>
      </c>
      <c r="C1890" s="49" t="s">
        <v>58</v>
      </c>
      <c r="D1890" s="55">
        <v>20</v>
      </c>
      <c r="E1890" s="51"/>
      <c r="F1890" s="57"/>
    </row>
    <row r="1891" spans="1:28" s="58" customFormat="1" ht="30" hidden="1" customHeight="1" outlineLevel="1" x14ac:dyDescent="0.4">
      <c r="A1891" s="54"/>
      <c r="B1891" s="48" t="s">
        <v>410</v>
      </c>
      <c r="C1891" s="49" t="s">
        <v>58</v>
      </c>
      <c r="D1891" s="55">
        <v>20</v>
      </c>
      <c r="E1891" s="51"/>
      <c r="F1891" s="57"/>
    </row>
    <row r="1892" spans="1:28" s="58" customFormat="1" ht="30" hidden="1" customHeight="1" outlineLevel="1" x14ac:dyDescent="0.4">
      <c r="A1892" s="54"/>
      <c r="B1892" s="48" t="s">
        <v>411</v>
      </c>
      <c r="C1892" s="49" t="s">
        <v>58</v>
      </c>
      <c r="D1892" s="55">
        <v>40</v>
      </c>
      <c r="E1892" s="51"/>
      <c r="F1892" s="57"/>
    </row>
    <row r="1893" spans="1:28" s="39" customFormat="1" ht="21" customHeight="1" collapsed="1" x14ac:dyDescent="0.35">
      <c r="A1893" s="158" t="s">
        <v>762</v>
      </c>
      <c r="B1893" s="158"/>
      <c r="C1893" s="158"/>
      <c r="D1893" s="158"/>
      <c r="E1893" s="158"/>
      <c r="F1893" s="34"/>
      <c r="G1893" s="35"/>
      <c r="H1893" s="36"/>
      <c r="I1893" s="37"/>
      <c r="J1893" s="37"/>
      <c r="K1893" s="38"/>
      <c r="L1893" s="38"/>
      <c r="M1893" s="38"/>
      <c r="N1893" s="36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</row>
    <row r="1894" spans="1:28" ht="31" customHeight="1" x14ac:dyDescent="0.35">
      <c r="A1894" s="24">
        <f>A1887+1</f>
        <v>803</v>
      </c>
      <c r="B1894" s="25" t="s">
        <v>652</v>
      </c>
      <c r="C1894" s="89" t="s">
        <v>58</v>
      </c>
      <c r="D1894" s="26">
        <v>2</v>
      </c>
      <c r="E1894" s="41"/>
      <c r="F1894" s="42"/>
    </row>
    <row r="1895" spans="1:28" ht="92.6" hidden="1" outlineLevel="1" x14ac:dyDescent="0.35">
      <c r="A1895" s="47"/>
      <c r="B1895" s="48" t="s">
        <v>653</v>
      </c>
      <c r="C1895" s="49" t="s">
        <v>58</v>
      </c>
      <c r="D1895" s="49">
        <v>1</v>
      </c>
      <c r="E1895" s="78"/>
      <c r="F1895" s="42"/>
    </row>
    <row r="1896" spans="1:28" ht="92.6" hidden="1" outlineLevel="1" x14ac:dyDescent="0.35">
      <c r="A1896" s="47"/>
      <c r="B1896" s="48" t="s">
        <v>654</v>
      </c>
      <c r="C1896" s="49" t="s">
        <v>58</v>
      </c>
      <c r="D1896" s="49">
        <v>1</v>
      </c>
      <c r="E1896" s="78"/>
      <c r="F1896" s="42"/>
    </row>
    <row r="1897" spans="1:28" ht="31" customHeight="1" collapsed="1" x14ac:dyDescent="0.35">
      <c r="A1897" s="24">
        <f>A1894+1</f>
        <v>804</v>
      </c>
      <c r="B1897" s="25" t="s">
        <v>655</v>
      </c>
      <c r="C1897" s="89" t="s">
        <v>58</v>
      </c>
      <c r="D1897" s="26">
        <v>2</v>
      </c>
      <c r="E1897" s="41"/>
      <c r="F1897" s="42"/>
    </row>
    <row r="1898" spans="1:28" ht="30" hidden="1" customHeight="1" outlineLevel="1" x14ac:dyDescent="0.35">
      <c r="A1898" s="47"/>
      <c r="B1898" s="48" t="s">
        <v>656</v>
      </c>
      <c r="C1898" s="49" t="s">
        <v>251</v>
      </c>
      <c r="D1898" s="49">
        <v>2</v>
      </c>
      <c r="E1898" s="78"/>
      <c r="F1898" s="42"/>
    </row>
    <row r="1899" spans="1:28" ht="31" customHeight="1" collapsed="1" x14ac:dyDescent="0.35">
      <c r="A1899" s="24">
        <f>A1897+1</f>
        <v>805</v>
      </c>
      <c r="B1899" s="25" t="s">
        <v>657</v>
      </c>
      <c r="C1899" s="89" t="s">
        <v>58</v>
      </c>
      <c r="D1899" s="26">
        <v>2</v>
      </c>
      <c r="E1899" s="41"/>
      <c r="F1899" s="42"/>
    </row>
    <row r="1900" spans="1:28" ht="61.75" hidden="1" outlineLevel="1" x14ac:dyDescent="0.35">
      <c r="A1900" s="47"/>
      <c r="B1900" s="48" t="s">
        <v>778</v>
      </c>
      <c r="C1900" s="49" t="s">
        <v>58</v>
      </c>
      <c r="D1900" s="49">
        <v>1</v>
      </c>
      <c r="E1900" s="78"/>
      <c r="F1900" s="42"/>
    </row>
    <row r="1901" spans="1:28" ht="61.75" hidden="1" outlineLevel="1" x14ac:dyDescent="0.35">
      <c r="A1901" s="47"/>
      <c r="B1901" s="48" t="s">
        <v>779</v>
      </c>
      <c r="C1901" s="49" t="s">
        <v>58</v>
      </c>
      <c r="D1901" s="49">
        <v>1</v>
      </c>
      <c r="E1901" s="78"/>
      <c r="F1901" s="42"/>
    </row>
    <row r="1902" spans="1:28" ht="31" customHeight="1" collapsed="1" x14ac:dyDescent="0.35">
      <c r="A1902" s="24">
        <f>A1899+1</f>
        <v>806</v>
      </c>
      <c r="B1902" s="25" t="s">
        <v>577</v>
      </c>
      <c r="C1902" s="89" t="s">
        <v>578</v>
      </c>
      <c r="D1902" s="26">
        <v>1</v>
      </c>
      <c r="E1902" s="41"/>
      <c r="F1902" s="42"/>
    </row>
    <row r="1903" spans="1:28" ht="30.9" hidden="1" outlineLevel="1" x14ac:dyDescent="0.35">
      <c r="A1903" s="47"/>
      <c r="B1903" s="48" t="s">
        <v>579</v>
      </c>
      <c r="C1903" s="49" t="s">
        <v>58</v>
      </c>
      <c r="D1903" s="49">
        <v>1</v>
      </c>
      <c r="E1903" s="78"/>
      <c r="F1903" s="42"/>
    </row>
    <row r="1904" spans="1:28" s="58" customFormat="1" ht="30" customHeight="1" collapsed="1" x14ac:dyDescent="0.4">
      <c r="A1904" s="24">
        <f>A1902+1</f>
        <v>807</v>
      </c>
      <c r="B1904" s="25" t="s">
        <v>431</v>
      </c>
      <c r="C1904" s="89" t="s">
        <v>132</v>
      </c>
      <c r="D1904" s="90">
        <v>171</v>
      </c>
      <c r="E1904" s="91"/>
      <c r="F1904" s="57"/>
    </row>
    <row r="1905" spans="1:203" s="58" customFormat="1" ht="30" hidden="1" customHeight="1" outlineLevel="1" x14ac:dyDescent="0.4">
      <c r="A1905" s="87"/>
      <c r="B1905" s="48" t="s">
        <v>454</v>
      </c>
      <c r="C1905" s="75" t="s">
        <v>132</v>
      </c>
      <c r="D1905" s="111">
        <v>76</v>
      </c>
      <c r="E1905" s="88">
        <v>2.1999999999999999E-2</v>
      </c>
      <c r="F1905" s="57"/>
    </row>
    <row r="1906" spans="1:203" s="58" customFormat="1" ht="30" hidden="1" customHeight="1" outlineLevel="1" x14ac:dyDescent="0.4">
      <c r="A1906" s="87"/>
      <c r="B1906" s="48" t="s">
        <v>780</v>
      </c>
      <c r="C1906" s="75" t="s">
        <v>132</v>
      </c>
      <c r="D1906" s="111">
        <v>95</v>
      </c>
      <c r="E1906" s="88">
        <v>6.0000000000000001E-3</v>
      </c>
      <c r="F1906" s="57"/>
    </row>
    <row r="1907" spans="1:203" s="58" customFormat="1" ht="30" hidden="1" customHeight="1" outlineLevel="1" x14ac:dyDescent="0.4">
      <c r="A1907" s="87"/>
      <c r="B1907" s="48" t="s">
        <v>441</v>
      </c>
      <c r="C1907" s="75" t="s">
        <v>58</v>
      </c>
      <c r="D1907" s="111">
        <v>18</v>
      </c>
      <c r="E1907" s="88"/>
      <c r="F1907" s="57"/>
    </row>
    <row r="1908" spans="1:203" s="58" customFormat="1" ht="30" customHeight="1" collapsed="1" x14ac:dyDescent="0.4">
      <c r="A1908" s="24">
        <f>A1904+1</f>
        <v>808</v>
      </c>
      <c r="B1908" s="25" t="s">
        <v>316</v>
      </c>
      <c r="C1908" s="89" t="s">
        <v>132</v>
      </c>
      <c r="D1908" s="96">
        <v>10</v>
      </c>
      <c r="E1908" s="98"/>
      <c r="F1908" s="57"/>
      <c r="O1908" s="58" t="s">
        <v>442</v>
      </c>
    </row>
    <row r="1909" spans="1:203" s="58" customFormat="1" ht="30" hidden="1" customHeight="1" outlineLevel="1" x14ac:dyDescent="0.4">
      <c r="A1909" s="87"/>
      <c r="B1909" s="48" t="s">
        <v>317</v>
      </c>
      <c r="C1909" s="75" t="s">
        <v>132</v>
      </c>
      <c r="D1909" s="74">
        <v>10</v>
      </c>
      <c r="E1909" s="93"/>
      <c r="F1909" s="57"/>
    </row>
    <row r="1910" spans="1:203" s="58" customFormat="1" ht="30" customHeight="1" collapsed="1" x14ac:dyDescent="0.4">
      <c r="A1910" s="24">
        <f>A1908+1</f>
        <v>809</v>
      </c>
      <c r="B1910" s="25" t="s">
        <v>340</v>
      </c>
      <c r="C1910" s="89" t="s">
        <v>132</v>
      </c>
      <c r="D1910" s="90">
        <v>96</v>
      </c>
      <c r="E1910" s="99"/>
      <c r="F1910" s="57"/>
    </row>
    <row r="1911" spans="1:203" s="58" customFormat="1" ht="30" hidden="1" customHeight="1" outlineLevel="1" x14ac:dyDescent="0.4">
      <c r="A1911" s="87"/>
      <c r="B1911" s="48" t="s">
        <v>341</v>
      </c>
      <c r="C1911" s="75" t="s">
        <v>14</v>
      </c>
      <c r="D1911" s="77">
        <f>96*1.66/1000*1.1</f>
        <v>0.17529599999999998</v>
      </c>
      <c r="E1911" s="88">
        <v>0.17499999999999999</v>
      </c>
      <c r="F1911" s="57"/>
    </row>
    <row r="1912" spans="1:203" s="58" customFormat="1" ht="30" customHeight="1" collapsed="1" x14ac:dyDescent="0.4">
      <c r="A1912" s="24">
        <f>A1910+1</f>
        <v>810</v>
      </c>
      <c r="B1912" s="25" t="s">
        <v>284</v>
      </c>
      <c r="C1912" s="89" t="s">
        <v>132</v>
      </c>
      <c r="D1912" s="90">
        <v>21</v>
      </c>
      <c r="E1912" s="91"/>
      <c r="F1912" s="57"/>
    </row>
    <row r="1913" spans="1:203" s="58" customFormat="1" ht="30" hidden="1" customHeight="1" outlineLevel="1" x14ac:dyDescent="0.4">
      <c r="A1913" s="87"/>
      <c r="B1913" s="48" t="s">
        <v>342</v>
      </c>
      <c r="C1913" s="75" t="s">
        <v>132</v>
      </c>
      <c r="D1913" s="74">
        <v>18</v>
      </c>
      <c r="E1913" s="88"/>
      <c r="F1913" s="57"/>
    </row>
    <row r="1914" spans="1:203" s="58" customFormat="1" ht="30" hidden="1" customHeight="1" outlineLevel="1" x14ac:dyDescent="0.4">
      <c r="A1914" s="87"/>
      <c r="B1914" s="48" t="s">
        <v>285</v>
      </c>
      <c r="C1914" s="75" t="s">
        <v>132</v>
      </c>
      <c r="D1914" s="74">
        <v>3</v>
      </c>
      <c r="E1914" s="88"/>
      <c r="F1914" s="57"/>
    </row>
    <row r="1915" spans="1:203" s="58" customFormat="1" ht="30" hidden="1" customHeight="1" outlineLevel="1" x14ac:dyDescent="0.4">
      <c r="A1915" s="87"/>
      <c r="B1915" s="48" t="s">
        <v>343</v>
      </c>
      <c r="C1915" s="112" t="s">
        <v>58</v>
      </c>
      <c r="D1915" s="74">
        <v>14</v>
      </c>
      <c r="E1915" s="88"/>
      <c r="F1915" s="57"/>
    </row>
    <row r="1916" spans="1:203" s="58" customFormat="1" ht="30" hidden="1" customHeight="1" outlineLevel="1" x14ac:dyDescent="0.4">
      <c r="A1916" s="87"/>
      <c r="B1916" s="48" t="s">
        <v>348</v>
      </c>
      <c r="C1916" s="75" t="s">
        <v>349</v>
      </c>
      <c r="D1916" s="74">
        <v>1</v>
      </c>
      <c r="E1916" s="88"/>
      <c r="F1916" s="57"/>
    </row>
    <row r="1917" spans="1:203" s="58" customFormat="1" ht="30" customHeight="1" collapsed="1" x14ac:dyDescent="0.4">
      <c r="A1917" s="24">
        <f>A1912+1</f>
        <v>811</v>
      </c>
      <c r="B1917" s="25" t="s">
        <v>588</v>
      </c>
      <c r="C1917" s="89" t="s">
        <v>58</v>
      </c>
      <c r="D1917" s="90">
        <v>1</v>
      </c>
      <c r="E1917" s="99"/>
      <c r="F1917" s="57"/>
    </row>
    <row r="1918" spans="1:203" s="58" customFormat="1" ht="30.9" hidden="1" outlineLevel="1" x14ac:dyDescent="0.4">
      <c r="A1918" s="87"/>
      <c r="B1918" s="48" t="s">
        <v>781</v>
      </c>
      <c r="C1918" s="75" t="s">
        <v>58</v>
      </c>
      <c r="D1918" s="74">
        <v>1</v>
      </c>
      <c r="E1918" s="88"/>
      <c r="F1918" s="57"/>
    </row>
    <row r="1919" spans="1:203" s="45" customFormat="1" ht="31" customHeight="1" collapsed="1" x14ac:dyDescent="0.35">
      <c r="A1919" s="24">
        <f>A1917+1</f>
        <v>812</v>
      </c>
      <c r="B1919" s="25" t="s">
        <v>592</v>
      </c>
      <c r="C1919" s="89" t="s">
        <v>58</v>
      </c>
      <c r="D1919" s="26">
        <v>4</v>
      </c>
      <c r="E1919" s="41"/>
      <c r="F1919" s="42"/>
      <c r="G1919" s="43"/>
      <c r="H1919" s="44"/>
      <c r="I1919" s="43"/>
      <c r="J1919" s="43"/>
      <c r="N1919" s="44"/>
      <c r="AC1919" s="46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  <c r="BP1919" s="46"/>
      <c r="BQ1919" s="46"/>
      <c r="BR1919" s="46"/>
      <c r="BS1919" s="46"/>
      <c r="BT1919" s="46"/>
      <c r="BU1919" s="46"/>
      <c r="BV1919" s="46"/>
      <c r="BW1919" s="46"/>
      <c r="BX1919" s="46"/>
      <c r="BY1919" s="46"/>
      <c r="BZ1919" s="46"/>
      <c r="CA1919" s="46"/>
      <c r="CB1919" s="46"/>
      <c r="CC1919" s="46"/>
      <c r="CD1919" s="46"/>
      <c r="CE1919" s="46"/>
      <c r="CF1919" s="46"/>
      <c r="CG1919" s="46"/>
      <c r="CH1919" s="46"/>
      <c r="CI1919" s="46"/>
      <c r="CJ1919" s="46"/>
      <c r="CK1919" s="46"/>
      <c r="CL1919" s="46"/>
      <c r="CM1919" s="46"/>
      <c r="CN1919" s="46"/>
      <c r="CO1919" s="46"/>
      <c r="CP1919" s="46"/>
      <c r="CQ1919" s="46"/>
      <c r="CR1919" s="46"/>
      <c r="CS1919" s="46"/>
      <c r="CT1919" s="46"/>
      <c r="CU1919" s="46"/>
      <c r="CV1919" s="46"/>
      <c r="CW1919" s="46"/>
      <c r="CX1919" s="46"/>
      <c r="CY1919" s="46"/>
      <c r="CZ1919" s="46"/>
      <c r="DA1919" s="46"/>
      <c r="DB1919" s="46"/>
      <c r="DC1919" s="46"/>
      <c r="DD1919" s="46"/>
      <c r="DE1919" s="46"/>
      <c r="DF1919" s="46"/>
      <c r="DG1919" s="46"/>
      <c r="DH1919" s="46"/>
      <c r="DI1919" s="46"/>
      <c r="DJ1919" s="46"/>
      <c r="DK1919" s="46"/>
      <c r="DL1919" s="46"/>
      <c r="DM1919" s="46"/>
      <c r="DN1919" s="46"/>
      <c r="DO1919" s="46"/>
      <c r="DP1919" s="46"/>
      <c r="DQ1919" s="46"/>
      <c r="DR1919" s="46"/>
      <c r="DS1919" s="46"/>
      <c r="DT1919" s="46"/>
      <c r="DU1919" s="46"/>
      <c r="DV1919" s="46"/>
      <c r="DW1919" s="46"/>
      <c r="DX1919" s="46"/>
      <c r="DY1919" s="46"/>
      <c r="DZ1919" s="46"/>
      <c r="EA1919" s="46"/>
      <c r="EB1919" s="46"/>
      <c r="EC1919" s="46"/>
      <c r="ED1919" s="46"/>
      <c r="EE1919" s="46"/>
      <c r="EF1919" s="46"/>
      <c r="EG1919" s="46"/>
      <c r="EH1919" s="46"/>
      <c r="EI1919" s="46"/>
      <c r="EJ1919" s="46"/>
      <c r="EK1919" s="46"/>
      <c r="EL1919" s="46"/>
      <c r="EM1919" s="46"/>
      <c r="EN1919" s="46"/>
      <c r="EO1919" s="46"/>
      <c r="EP1919" s="46"/>
      <c r="EQ1919" s="46"/>
      <c r="ER1919" s="46"/>
      <c r="ES1919" s="46"/>
      <c r="ET1919" s="46"/>
      <c r="EU1919" s="46"/>
      <c r="EV1919" s="46"/>
      <c r="EW1919" s="46"/>
      <c r="EX1919" s="46"/>
      <c r="EY1919" s="46"/>
      <c r="EZ1919" s="46"/>
      <c r="FA1919" s="46"/>
      <c r="FB1919" s="46"/>
      <c r="FC1919" s="46"/>
      <c r="FD1919" s="46"/>
      <c r="FE1919" s="46"/>
      <c r="FF1919" s="46"/>
      <c r="FG1919" s="46"/>
      <c r="FH1919" s="46"/>
      <c r="FI1919" s="46"/>
      <c r="FJ1919" s="46"/>
      <c r="FK1919" s="46"/>
      <c r="FL1919" s="46"/>
      <c r="FM1919" s="46"/>
      <c r="FN1919" s="46"/>
      <c r="FO1919" s="46"/>
      <c r="FP1919" s="46"/>
      <c r="FQ1919" s="46"/>
      <c r="FR1919" s="46"/>
      <c r="FS1919" s="46"/>
      <c r="FT1919" s="46"/>
      <c r="FU1919" s="46"/>
      <c r="FV1919" s="46"/>
      <c r="FW1919" s="46"/>
      <c r="FX1919" s="46"/>
      <c r="FY1919" s="46"/>
      <c r="FZ1919" s="46"/>
      <c r="GA1919" s="46"/>
      <c r="GB1919" s="46"/>
      <c r="GC1919" s="46"/>
      <c r="GD1919" s="46"/>
      <c r="GE1919" s="46"/>
      <c r="GF1919" s="46"/>
      <c r="GG1919" s="46"/>
      <c r="GH1919" s="46"/>
      <c r="GI1919" s="46"/>
      <c r="GJ1919" s="46"/>
      <c r="GK1919" s="46"/>
      <c r="GL1919" s="46"/>
      <c r="GM1919" s="46"/>
      <c r="GN1919" s="46"/>
      <c r="GO1919" s="46"/>
      <c r="GP1919" s="46"/>
      <c r="GQ1919" s="46"/>
      <c r="GR1919" s="46"/>
      <c r="GS1919" s="46"/>
      <c r="GT1919" s="46"/>
      <c r="GU1919" s="46"/>
    </row>
    <row r="1920" spans="1:203" s="45" customFormat="1" ht="30" hidden="1" customHeight="1" outlineLevel="1" x14ac:dyDescent="0.35">
      <c r="A1920" s="47"/>
      <c r="B1920" s="48" t="s">
        <v>593</v>
      </c>
      <c r="C1920" s="49" t="s">
        <v>58</v>
      </c>
      <c r="D1920" s="49">
        <v>5</v>
      </c>
      <c r="E1920" s="78"/>
      <c r="F1920" s="42"/>
      <c r="G1920" s="43"/>
      <c r="H1920" s="44"/>
      <c r="I1920" s="43"/>
      <c r="J1920" s="43"/>
      <c r="N1920" s="44"/>
      <c r="AC1920" s="46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  <c r="BP1920" s="46"/>
      <c r="BQ1920" s="46"/>
      <c r="BR1920" s="46"/>
      <c r="BS1920" s="46"/>
      <c r="BT1920" s="46"/>
      <c r="BU1920" s="46"/>
      <c r="BV1920" s="46"/>
      <c r="BW1920" s="46"/>
      <c r="BX1920" s="46"/>
      <c r="BY1920" s="46"/>
      <c r="BZ1920" s="46"/>
      <c r="CA1920" s="46"/>
      <c r="CB1920" s="46"/>
      <c r="CC1920" s="46"/>
      <c r="CD1920" s="46"/>
      <c r="CE1920" s="46"/>
      <c r="CF1920" s="46"/>
      <c r="CG1920" s="46"/>
      <c r="CH1920" s="46"/>
      <c r="CI1920" s="46"/>
      <c r="CJ1920" s="46"/>
      <c r="CK1920" s="46"/>
      <c r="CL1920" s="46"/>
      <c r="CM1920" s="46"/>
      <c r="CN1920" s="46"/>
      <c r="CO1920" s="46"/>
      <c r="CP1920" s="46"/>
      <c r="CQ1920" s="46"/>
      <c r="CR1920" s="46"/>
      <c r="CS1920" s="46"/>
      <c r="CT1920" s="46"/>
      <c r="CU1920" s="46"/>
      <c r="CV1920" s="46"/>
      <c r="CW1920" s="46"/>
      <c r="CX1920" s="46"/>
      <c r="CY1920" s="46"/>
      <c r="CZ1920" s="46"/>
      <c r="DA1920" s="46"/>
      <c r="DB1920" s="46"/>
      <c r="DC1920" s="46"/>
      <c r="DD1920" s="46"/>
      <c r="DE1920" s="46"/>
      <c r="DF1920" s="46"/>
      <c r="DG1920" s="46"/>
      <c r="DH1920" s="46"/>
      <c r="DI1920" s="46"/>
      <c r="DJ1920" s="46"/>
      <c r="DK1920" s="46"/>
      <c r="DL1920" s="46"/>
      <c r="DM1920" s="46"/>
      <c r="DN1920" s="46"/>
      <c r="DO1920" s="46"/>
      <c r="DP1920" s="46"/>
      <c r="DQ1920" s="46"/>
      <c r="DR1920" s="46"/>
      <c r="DS1920" s="46"/>
      <c r="DT1920" s="46"/>
      <c r="DU1920" s="46"/>
      <c r="DV1920" s="46"/>
      <c r="DW1920" s="46"/>
      <c r="DX1920" s="46"/>
      <c r="DY1920" s="46"/>
      <c r="DZ1920" s="46"/>
      <c r="EA1920" s="46"/>
      <c r="EB1920" s="46"/>
      <c r="EC1920" s="46"/>
      <c r="ED1920" s="46"/>
      <c r="EE1920" s="46"/>
      <c r="EF1920" s="46"/>
      <c r="EG1920" s="46"/>
      <c r="EH1920" s="46"/>
      <c r="EI1920" s="46"/>
      <c r="EJ1920" s="46"/>
      <c r="EK1920" s="46"/>
      <c r="EL1920" s="46"/>
      <c r="EM1920" s="46"/>
      <c r="EN1920" s="46"/>
      <c r="EO1920" s="46"/>
      <c r="EP1920" s="46"/>
      <c r="EQ1920" s="46"/>
      <c r="ER1920" s="46"/>
      <c r="ES1920" s="46"/>
      <c r="ET1920" s="46"/>
      <c r="EU1920" s="46"/>
      <c r="EV1920" s="46"/>
      <c r="EW1920" s="46"/>
      <c r="EX1920" s="46"/>
      <c r="EY1920" s="46"/>
      <c r="EZ1920" s="46"/>
      <c r="FA1920" s="46"/>
      <c r="FB1920" s="46"/>
      <c r="FC1920" s="46"/>
      <c r="FD1920" s="46"/>
      <c r="FE1920" s="46"/>
      <c r="FF1920" s="46"/>
      <c r="FG1920" s="46"/>
      <c r="FH1920" s="46"/>
      <c r="FI1920" s="46"/>
      <c r="FJ1920" s="46"/>
      <c r="FK1920" s="46"/>
      <c r="FL1920" s="46"/>
      <c r="FM1920" s="46"/>
      <c r="FN1920" s="46"/>
      <c r="FO1920" s="46"/>
      <c r="FP1920" s="46"/>
      <c r="FQ1920" s="46"/>
      <c r="FR1920" s="46"/>
      <c r="FS1920" s="46"/>
      <c r="FT1920" s="46"/>
      <c r="FU1920" s="46"/>
      <c r="FV1920" s="46"/>
      <c r="FW1920" s="46"/>
      <c r="FX1920" s="46"/>
      <c r="FY1920" s="46"/>
      <c r="FZ1920" s="46"/>
      <c r="GA1920" s="46"/>
      <c r="GB1920" s="46"/>
      <c r="GC1920" s="46"/>
      <c r="GD1920" s="46"/>
      <c r="GE1920" s="46"/>
      <c r="GF1920" s="46"/>
      <c r="GG1920" s="46"/>
      <c r="GH1920" s="46"/>
      <c r="GI1920" s="46"/>
      <c r="GJ1920" s="46"/>
      <c r="GK1920" s="46"/>
      <c r="GL1920" s="46"/>
      <c r="GM1920" s="46"/>
      <c r="GN1920" s="46"/>
      <c r="GO1920" s="46"/>
      <c r="GP1920" s="46"/>
      <c r="GQ1920" s="46"/>
      <c r="GR1920" s="46"/>
      <c r="GS1920" s="46"/>
      <c r="GT1920" s="46"/>
      <c r="GU1920" s="46"/>
    </row>
    <row r="1921" spans="1:28" s="58" customFormat="1" ht="30" customHeight="1" collapsed="1" x14ac:dyDescent="0.4">
      <c r="A1921" s="24">
        <f>A1919+1</f>
        <v>813</v>
      </c>
      <c r="B1921" s="71" t="s">
        <v>315</v>
      </c>
      <c r="C1921" s="40" t="s">
        <v>132</v>
      </c>
      <c r="D1921" s="82">
        <v>4</v>
      </c>
      <c r="E1921" s="66"/>
      <c r="F1921" s="57"/>
    </row>
    <row r="1922" spans="1:28" s="58" customFormat="1" ht="30" hidden="1" customHeight="1" outlineLevel="1" x14ac:dyDescent="0.4">
      <c r="A1922" s="87"/>
      <c r="B1922" s="48" t="s">
        <v>314</v>
      </c>
      <c r="C1922" s="75" t="s">
        <v>14</v>
      </c>
      <c r="D1922" s="65">
        <f>4*1.26/1000</f>
        <v>5.0400000000000002E-3</v>
      </c>
      <c r="E1922" s="88">
        <v>5.0000000000000001E-3</v>
      </c>
      <c r="F1922" s="57"/>
    </row>
    <row r="1923" spans="1:28" s="39" customFormat="1" ht="30" customHeight="1" collapsed="1" x14ac:dyDescent="0.35">
      <c r="A1923" s="153" t="s">
        <v>782</v>
      </c>
      <c r="B1923" s="153"/>
      <c r="C1923" s="153"/>
      <c r="D1923" s="153"/>
      <c r="E1923" s="153"/>
      <c r="F1923" s="34"/>
      <c r="G1923" s="35"/>
      <c r="H1923" s="36"/>
      <c r="I1923" s="37"/>
      <c r="J1923" s="37"/>
      <c r="K1923" s="38"/>
      <c r="L1923" s="38"/>
      <c r="M1923" s="38"/>
      <c r="N1923" s="36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</row>
    <row r="1924" spans="1:28" s="39" customFormat="1" ht="21" customHeight="1" x14ac:dyDescent="0.35">
      <c r="A1924" s="158" t="s">
        <v>783</v>
      </c>
      <c r="B1924" s="158"/>
      <c r="C1924" s="158"/>
      <c r="D1924" s="158"/>
      <c r="E1924" s="158"/>
      <c r="F1924" s="34"/>
      <c r="G1924" s="35"/>
      <c r="H1924" s="36"/>
      <c r="I1924" s="37"/>
      <c r="J1924" s="37"/>
      <c r="K1924" s="38"/>
      <c r="L1924" s="38"/>
      <c r="M1924" s="38"/>
      <c r="N1924" s="36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</row>
    <row r="1925" spans="1:28" ht="36" customHeight="1" x14ac:dyDescent="0.35">
      <c r="A1925" s="24">
        <f>A1921+1</f>
        <v>814</v>
      </c>
      <c r="B1925" s="59" t="s">
        <v>766</v>
      </c>
      <c r="C1925" s="26" t="s">
        <v>29</v>
      </c>
      <c r="D1925" s="67">
        <v>116.4</v>
      </c>
      <c r="E1925" s="41"/>
      <c r="F1925" s="42"/>
    </row>
    <row r="1926" spans="1:28" ht="30" customHeight="1" x14ac:dyDescent="0.35">
      <c r="A1926" s="24">
        <f>A1925+1</f>
        <v>815</v>
      </c>
      <c r="B1926" s="25" t="s">
        <v>131</v>
      </c>
      <c r="C1926" s="26" t="s">
        <v>132</v>
      </c>
      <c r="D1926" s="73">
        <v>44</v>
      </c>
      <c r="E1926" s="41"/>
      <c r="F1926" s="42"/>
    </row>
    <row r="1927" spans="1:28" ht="31" hidden="1" customHeight="1" outlineLevel="1" x14ac:dyDescent="0.35">
      <c r="A1927" s="47"/>
      <c r="B1927" s="48" t="s">
        <v>133</v>
      </c>
      <c r="C1927" s="49" t="s">
        <v>58</v>
      </c>
      <c r="D1927" s="55">
        <v>44</v>
      </c>
      <c r="E1927" s="56">
        <v>4.4000000000000004</v>
      </c>
      <c r="F1927" s="42"/>
    </row>
    <row r="1928" spans="1:28" ht="31" hidden="1" customHeight="1" outlineLevel="1" x14ac:dyDescent="0.35">
      <c r="A1928" s="74"/>
      <c r="B1928" s="48" t="s">
        <v>134</v>
      </c>
      <c r="C1928" s="49" t="s">
        <v>19</v>
      </c>
      <c r="D1928" s="81">
        <f>2.86</f>
        <v>2.86</v>
      </c>
      <c r="E1928" s="69"/>
      <c r="F1928" s="42"/>
    </row>
    <row r="1929" spans="1:28" ht="30" customHeight="1" collapsed="1" x14ac:dyDescent="0.35">
      <c r="A1929" s="24">
        <f>A1926+1</f>
        <v>816</v>
      </c>
      <c r="B1929" s="25" t="s">
        <v>135</v>
      </c>
      <c r="C1929" s="26" t="s">
        <v>19</v>
      </c>
      <c r="D1929" s="110">
        <v>16.48</v>
      </c>
      <c r="E1929" s="41"/>
      <c r="F1929" s="42"/>
    </row>
    <row r="1930" spans="1:28" ht="31" hidden="1" customHeight="1" outlineLevel="1" x14ac:dyDescent="0.35">
      <c r="A1930" s="47"/>
      <c r="B1930" s="48" t="s">
        <v>52</v>
      </c>
      <c r="C1930" s="49" t="s">
        <v>19</v>
      </c>
      <c r="D1930" s="68">
        <f>16.48</f>
        <v>16.48</v>
      </c>
      <c r="E1930" s="51"/>
      <c r="F1930" s="42"/>
    </row>
    <row r="1931" spans="1:28" s="39" customFormat="1" ht="21" customHeight="1" collapsed="1" x14ac:dyDescent="0.35">
      <c r="A1931" s="158" t="s">
        <v>784</v>
      </c>
      <c r="B1931" s="158"/>
      <c r="C1931" s="158"/>
      <c r="D1931" s="158"/>
      <c r="E1931" s="158"/>
      <c r="F1931" s="34"/>
      <c r="G1931" s="35"/>
      <c r="H1931" s="36"/>
      <c r="I1931" s="37"/>
      <c r="J1931" s="37"/>
      <c r="K1931" s="38"/>
      <c r="L1931" s="38"/>
      <c r="M1931" s="38"/>
      <c r="N1931" s="36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</row>
    <row r="1932" spans="1:28" s="39" customFormat="1" ht="21" customHeight="1" x14ac:dyDescent="0.35">
      <c r="A1932" s="154" t="s">
        <v>785</v>
      </c>
      <c r="B1932" s="154"/>
      <c r="C1932" s="154"/>
      <c r="D1932" s="154"/>
      <c r="E1932" s="154"/>
      <c r="F1932" s="34"/>
      <c r="G1932" s="35"/>
      <c r="H1932" s="36"/>
      <c r="I1932" s="37"/>
      <c r="J1932" s="37"/>
      <c r="K1932" s="38"/>
      <c r="L1932" s="38"/>
      <c r="M1932" s="38"/>
      <c r="N1932" s="36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</row>
    <row r="1933" spans="1:28" s="39" customFormat="1" ht="36" customHeight="1" x14ac:dyDescent="0.35">
      <c r="A1933" s="24">
        <f>A1929+1</f>
        <v>817</v>
      </c>
      <c r="B1933" s="25" t="s">
        <v>136</v>
      </c>
      <c r="C1933" s="26" t="s">
        <v>19</v>
      </c>
      <c r="D1933" s="40">
        <f>0.07*2</f>
        <v>0.14000000000000001</v>
      </c>
      <c r="E1933" s="64"/>
      <c r="F1933" s="34"/>
      <c r="G1933" s="35"/>
      <c r="H1933" s="36"/>
      <c r="I1933" s="37"/>
      <c r="J1933" s="37"/>
      <c r="K1933" s="38"/>
      <c r="L1933" s="38"/>
      <c r="M1933" s="38"/>
      <c r="N1933" s="36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</row>
    <row r="1934" spans="1:28" ht="34.5" hidden="1" customHeight="1" outlineLevel="1" x14ac:dyDescent="0.35">
      <c r="A1934" s="47"/>
      <c r="B1934" s="48" t="s">
        <v>134</v>
      </c>
      <c r="C1934" s="75" t="s">
        <v>19</v>
      </c>
      <c r="D1934" s="63">
        <f>0.14</f>
        <v>0.14000000000000001</v>
      </c>
      <c r="E1934" s="76"/>
      <c r="F1934" s="42"/>
    </row>
    <row r="1935" spans="1:28" ht="33" customHeight="1" collapsed="1" x14ac:dyDescent="0.35">
      <c r="A1935" s="24">
        <f>A1933+1</f>
        <v>818</v>
      </c>
      <c r="B1935" s="25" t="s">
        <v>64</v>
      </c>
      <c r="C1935" s="26" t="s">
        <v>19</v>
      </c>
      <c r="D1935" s="40">
        <v>0.74</v>
      </c>
      <c r="E1935" s="41"/>
      <c r="F1935" s="53"/>
    </row>
    <row r="1936" spans="1:28" ht="34.5" hidden="1" customHeight="1" outlineLevel="1" x14ac:dyDescent="0.35">
      <c r="A1936" s="47"/>
      <c r="B1936" s="48" t="s">
        <v>137</v>
      </c>
      <c r="C1936" s="75" t="s">
        <v>14</v>
      </c>
      <c r="D1936" s="77">
        <f>3.91*2/1000</f>
        <v>7.8200000000000006E-3</v>
      </c>
      <c r="E1936" s="78"/>
      <c r="F1936" s="42"/>
    </row>
    <row r="1937" spans="1:28" s="58" customFormat="1" ht="30" hidden="1" customHeight="1" outlineLevel="1" x14ac:dyDescent="0.4">
      <c r="A1937" s="54"/>
      <c r="B1937" s="48" t="s">
        <v>65</v>
      </c>
      <c r="C1937" s="49" t="s">
        <v>19</v>
      </c>
      <c r="D1937" s="63">
        <f>0.37*2</f>
        <v>0.74</v>
      </c>
      <c r="E1937" s="51"/>
      <c r="F1937" s="57"/>
    </row>
    <row r="1938" spans="1:28" s="58" customFormat="1" ht="30" customHeight="1" collapsed="1" x14ac:dyDescent="0.4">
      <c r="A1938" s="24">
        <f>A1935+1</f>
        <v>819</v>
      </c>
      <c r="B1938" s="59" t="s">
        <v>138</v>
      </c>
      <c r="C1938" s="70" t="s">
        <v>67</v>
      </c>
      <c r="D1938" s="40" t="s">
        <v>786</v>
      </c>
      <c r="E1938" s="66"/>
      <c r="F1938" s="57"/>
    </row>
    <row r="1939" spans="1:28" s="58" customFormat="1" ht="30" hidden="1" customHeight="1" outlineLevel="1" x14ac:dyDescent="0.4">
      <c r="A1939" s="54"/>
      <c r="B1939" s="48" t="s">
        <v>140</v>
      </c>
      <c r="C1939" s="49" t="s">
        <v>58</v>
      </c>
      <c r="D1939" s="55">
        <v>2</v>
      </c>
      <c r="E1939" s="51"/>
      <c r="F1939" s="57"/>
    </row>
    <row r="1940" spans="1:28" s="39" customFormat="1" ht="36" customHeight="1" collapsed="1" x14ac:dyDescent="0.35">
      <c r="A1940" s="24">
        <f>A1938+1</f>
        <v>820</v>
      </c>
      <c r="B1940" s="25" t="s">
        <v>66</v>
      </c>
      <c r="C1940" s="26" t="s">
        <v>67</v>
      </c>
      <c r="D1940" s="40" t="s">
        <v>787</v>
      </c>
      <c r="E1940" s="64"/>
      <c r="F1940" s="34"/>
      <c r="G1940" s="35"/>
      <c r="H1940" s="36"/>
      <c r="I1940" s="37"/>
      <c r="J1940" s="37"/>
      <c r="K1940" s="38"/>
      <c r="L1940" s="38"/>
      <c r="M1940" s="38"/>
      <c r="N1940" s="36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</row>
    <row r="1941" spans="1:28" s="58" customFormat="1" ht="30" hidden="1" customHeight="1" outlineLevel="1" x14ac:dyDescent="0.4">
      <c r="A1941" s="54"/>
      <c r="B1941" s="48" t="s">
        <v>700</v>
      </c>
      <c r="C1941" s="49" t="s">
        <v>14</v>
      </c>
      <c r="D1941" s="65">
        <f>(20.04+18.37)/1000</f>
        <v>3.841E-2</v>
      </c>
      <c r="E1941" s="51"/>
      <c r="F1941" s="57"/>
    </row>
    <row r="1942" spans="1:28" s="58" customFormat="1" ht="30" hidden="1" customHeight="1" outlineLevel="1" x14ac:dyDescent="0.4">
      <c r="A1942" s="54"/>
      <c r="B1942" s="48" t="s">
        <v>185</v>
      </c>
      <c r="C1942" s="49" t="s">
        <v>14</v>
      </c>
      <c r="D1942" s="65">
        <f>(2.52+5.66)*2/1000</f>
        <v>1.636E-2</v>
      </c>
      <c r="E1942" s="51"/>
      <c r="F1942" s="57"/>
    </row>
    <row r="1943" spans="1:28" s="58" customFormat="1" ht="30" customHeight="1" collapsed="1" x14ac:dyDescent="0.4">
      <c r="A1943" s="24">
        <f>A1940+1</f>
        <v>821</v>
      </c>
      <c r="B1943" s="59" t="s">
        <v>71</v>
      </c>
      <c r="C1943" s="26" t="s">
        <v>67</v>
      </c>
      <c r="D1943" s="40" t="s">
        <v>787</v>
      </c>
      <c r="E1943" s="66"/>
      <c r="F1943" s="57"/>
    </row>
    <row r="1944" spans="1:28" ht="31" customHeight="1" x14ac:dyDescent="0.35">
      <c r="A1944" s="24">
        <f>A1943+1</f>
        <v>822</v>
      </c>
      <c r="B1944" s="25" t="s">
        <v>755</v>
      </c>
      <c r="C1944" s="89" t="s">
        <v>29</v>
      </c>
      <c r="D1944" s="80">
        <f>((1.9*0.6*4*2))</f>
        <v>9.1199999999999992</v>
      </c>
      <c r="E1944" s="41"/>
      <c r="F1944" s="42"/>
    </row>
    <row r="1945" spans="1:28" ht="30" hidden="1" customHeight="1" outlineLevel="1" x14ac:dyDescent="0.35">
      <c r="A1945" s="47"/>
      <c r="B1945" s="48" t="s">
        <v>756</v>
      </c>
      <c r="C1945" s="49" t="s">
        <v>74</v>
      </c>
      <c r="D1945" s="68">
        <f>D1944*2</f>
        <v>18.239999999999998</v>
      </c>
      <c r="E1945" s="78"/>
      <c r="F1945" s="42"/>
    </row>
    <row r="1946" spans="1:28" ht="36" customHeight="1" collapsed="1" x14ac:dyDescent="0.35">
      <c r="A1946" s="24">
        <f>A1944+1</f>
        <v>823</v>
      </c>
      <c r="B1946" s="59" t="s">
        <v>72</v>
      </c>
      <c r="C1946" s="26" t="s">
        <v>29</v>
      </c>
      <c r="D1946" s="67">
        <f>((0.089*0.8*3.14)+(0.3*0.3*2))*2</f>
        <v>0.80713600000000008</v>
      </c>
      <c r="E1946" s="41"/>
      <c r="F1946" s="42"/>
    </row>
    <row r="1947" spans="1:28" s="58" customFormat="1" ht="30" hidden="1" customHeight="1" outlineLevel="1" x14ac:dyDescent="0.4">
      <c r="A1947" s="54"/>
      <c r="B1947" s="48" t="s">
        <v>73</v>
      </c>
      <c r="C1947" s="49" t="s">
        <v>74</v>
      </c>
      <c r="D1947" s="68">
        <f>3.31*D1946</f>
        <v>2.6716201600000002</v>
      </c>
      <c r="E1947" s="69">
        <v>3.0000000000000001E-3</v>
      </c>
      <c r="F1947" s="57"/>
    </row>
    <row r="1948" spans="1:28" ht="36" customHeight="1" collapsed="1" x14ac:dyDescent="0.35">
      <c r="A1948" s="24">
        <f>A1946+1</f>
        <v>824</v>
      </c>
      <c r="B1948" s="59" t="s">
        <v>75</v>
      </c>
      <c r="C1948" s="26" t="s">
        <v>29</v>
      </c>
      <c r="D1948" s="67">
        <f>((0.089*0.8*3.14)+(0.3*0.3*2))*2</f>
        <v>0.80713600000000008</v>
      </c>
      <c r="E1948" s="41"/>
      <c r="F1948" s="42"/>
    </row>
    <row r="1949" spans="1:28" ht="36" customHeight="1" x14ac:dyDescent="0.35">
      <c r="A1949" s="24">
        <f>A1948+1</f>
        <v>825</v>
      </c>
      <c r="B1949" s="59" t="s">
        <v>76</v>
      </c>
      <c r="C1949" s="26" t="s">
        <v>29</v>
      </c>
      <c r="D1949" s="67">
        <f>((0.089*0.8*3.14)+(0.3*0.3*2))*2</f>
        <v>0.80713600000000008</v>
      </c>
      <c r="E1949" s="41"/>
      <c r="F1949" s="42"/>
    </row>
    <row r="1950" spans="1:28" s="58" customFormat="1" ht="30" customHeight="1" x14ac:dyDescent="0.4">
      <c r="A1950" s="24">
        <f>A1949+1</f>
        <v>826</v>
      </c>
      <c r="B1950" s="59" t="s">
        <v>77</v>
      </c>
      <c r="C1950" s="70" t="s">
        <v>29</v>
      </c>
      <c r="D1950" s="67">
        <f>((0.089*0.8*3.14)+(0.3*0.3*2))*2</f>
        <v>0.80713600000000008</v>
      </c>
      <c r="E1950" s="66"/>
      <c r="F1950" s="57"/>
    </row>
    <row r="1951" spans="1:28" s="58" customFormat="1" ht="30" hidden="1" customHeight="1" outlineLevel="1" x14ac:dyDescent="0.4">
      <c r="A1951" s="54"/>
      <c r="B1951" s="48" t="s">
        <v>78</v>
      </c>
      <c r="C1951" s="49" t="s">
        <v>74</v>
      </c>
      <c r="D1951" s="68">
        <f>D1950*0.255</f>
        <v>0.20581968000000003</v>
      </c>
      <c r="E1951" s="69">
        <v>1E-3</v>
      </c>
      <c r="F1951" s="57"/>
    </row>
    <row r="1952" spans="1:28" s="58" customFormat="1" ht="30" customHeight="1" collapsed="1" x14ac:dyDescent="0.4">
      <c r="A1952" s="24">
        <f>A1950+1</f>
        <v>827</v>
      </c>
      <c r="B1952" s="59" t="s">
        <v>79</v>
      </c>
      <c r="C1952" s="70" t="s">
        <v>29</v>
      </c>
      <c r="D1952" s="67">
        <f>((0.089*0.8*3.14)+(0.3*0.3*2))*2</f>
        <v>0.80713600000000008</v>
      </c>
      <c r="E1952" s="66"/>
      <c r="F1952" s="57"/>
    </row>
    <row r="1953" spans="1:28" s="58" customFormat="1" ht="30" hidden="1" customHeight="1" outlineLevel="1" x14ac:dyDescent="0.4">
      <c r="A1953" s="54"/>
      <c r="B1953" s="48" t="s">
        <v>80</v>
      </c>
      <c r="C1953" s="49" t="s">
        <v>74</v>
      </c>
      <c r="D1953" s="68">
        <f>D1952*0.36*2</f>
        <v>0.58113792000000009</v>
      </c>
      <c r="E1953" s="69"/>
      <c r="F1953" s="57"/>
    </row>
    <row r="1954" spans="1:28" s="39" customFormat="1" ht="21" customHeight="1" collapsed="1" x14ac:dyDescent="0.35">
      <c r="A1954" s="154" t="s">
        <v>60</v>
      </c>
      <c r="B1954" s="154"/>
      <c r="C1954" s="154"/>
      <c r="D1954" s="154"/>
      <c r="E1954" s="154"/>
      <c r="F1954" s="34"/>
      <c r="G1954" s="35"/>
      <c r="H1954" s="36"/>
      <c r="I1954" s="37"/>
      <c r="J1954" s="37"/>
      <c r="K1954" s="38"/>
      <c r="L1954" s="38"/>
      <c r="M1954" s="38"/>
      <c r="N1954" s="36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</row>
    <row r="1955" spans="1:28" s="39" customFormat="1" ht="36" customHeight="1" x14ac:dyDescent="0.35">
      <c r="A1955" s="24">
        <f>A1952+1</f>
        <v>828</v>
      </c>
      <c r="B1955" s="25" t="s">
        <v>136</v>
      </c>
      <c r="C1955" s="26" t="s">
        <v>19</v>
      </c>
      <c r="D1955" s="40">
        <v>7.0000000000000007E-2</v>
      </c>
      <c r="E1955" s="64"/>
      <c r="F1955" s="34"/>
      <c r="G1955" s="35"/>
      <c r="H1955" s="36"/>
      <c r="I1955" s="37"/>
      <c r="J1955" s="37"/>
      <c r="K1955" s="38"/>
      <c r="L1955" s="38"/>
      <c r="M1955" s="38"/>
      <c r="N1955" s="36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</row>
    <row r="1956" spans="1:28" ht="34.5" hidden="1" customHeight="1" outlineLevel="1" x14ac:dyDescent="0.35">
      <c r="A1956" s="47"/>
      <c r="B1956" s="48" t="s">
        <v>134</v>
      </c>
      <c r="C1956" s="75" t="s">
        <v>19</v>
      </c>
      <c r="D1956" s="75">
        <v>7.0000000000000007E-2</v>
      </c>
      <c r="E1956" s="76"/>
      <c r="F1956" s="42"/>
    </row>
    <row r="1957" spans="1:28" ht="33" customHeight="1" collapsed="1" x14ac:dyDescent="0.35">
      <c r="A1957" s="24">
        <f>A1955+1</f>
        <v>829</v>
      </c>
      <c r="B1957" s="25" t="s">
        <v>64</v>
      </c>
      <c r="C1957" s="26" t="s">
        <v>19</v>
      </c>
      <c r="D1957" s="40">
        <v>0.37</v>
      </c>
      <c r="E1957" s="41"/>
      <c r="F1957" s="53"/>
    </row>
    <row r="1958" spans="1:28" ht="34.5" hidden="1" customHeight="1" outlineLevel="1" x14ac:dyDescent="0.35">
      <c r="A1958" s="47"/>
      <c r="B1958" s="48" t="s">
        <v>137</v>
      </c>
      <c r="C1958" s="75" t="s">
        <v>14</v>
      </c>
      <c r="D1958" s="77">
        <f>3.91*1/1000*1.1</f>
        <v>4.301000000000001E-3</v>
      </c>
      <c r="E1958" s="78"/>
      <c r="F1958" s="42"/>
    </row>
    <row r="1959" spans="1:28" s="58" customFormat="1" ht="30" hidden="1" customHeight="1" outlineLevel="1" x14ac:dyDescent="0.4">
      <c r="A1959" s="54"/>
      <c r="B1959" s="48" t="s">
        <v>65</v>
      </c>
      <c r="C1959" s="49" t="s">
        <v>19</v>
      </c>
      <c r="D1959" s="75">
        <v>0.37</v>
      </c>
      <c r="E1959" s="51"/>
      <c r="F1959" s="57"/>
    </row>
    <row r="1960" spans="1:28" s="58" customFormat="1" ht="30" customHeight="1" collapsed="1" x14ac:dyDescent="0.4">
      <c r="A1960" s="24">
        <f>A1957+1</f>
        <v>830</v>
      </c>
      <c r="B1960" s="59" t="s">
        <v>138</v>
      </c>
      <c r="C1960" s="70" t="s">
        <v>67</v>
      </c>
      <c r="D1960" s="40" t="s">
        <v>139</v>
      </c>
      <c r="E1960" s="66"/>
      <c r="F1960" s="57"/>
    </row>
    <row r="1961" spans="1:28" s="58" customFormat="1" ht="30" hidden="1" customHeight="1" outlineLevel="1" x14ac:dyDescent="0.4">
      <c r="A1961" s="54"/>
      <c r="B1961" s="48" t="s">
        <v>140</v>
      </c>
      <c r="C1961" s="49" t="s">
        <v>58</v>
      </c>
      <c r="D1961" s="55">
        <v>1</v>
      </c>
      <c r="E1961" s="51"/>
      <c r="F1961" s="57"/>
    </row>
    <row r="1962" spans="1:28" s="39" customFormat="1" ht="36" customHeight="1" collapsed="1" x14ac:dyDescent="0.35">
      <c r="A1962" s="24">
        <f>A1960+1</f>
        <v>831</v>
      </c>
      <c r="B1962" s="25" t="s">
        <v>66</v>
      </c>
      <c r="C1962" s="26" t="s">
        <v>67</v>
      </c>
      <c r="D1962" s="40" t="s">
        <v>788</v>
      </c>
      <c r="E1962" s="64"/>
      <c r="F1962" s="34"/>
      <c r="G1962" s="35"/>
      <c r="H1962" s="36"/>
      <c r="I1962" s="37"/>
      <c r="J1962" s="37"/>
      <c r="K1962" s="38"/>
      <c r="L1962" s="38"/>
      <c r="M1962" s="38"/>
      <c r="N1962" s="36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</row>
    <row r="1963" spans="1:28" s="58" customFormat="1" ht="30" hidden="1" customHeight="1" outlineLevel="1" x14ac:dyDescent="0.4">
      <c r="A1963" s="54"/>
      <c r="B1963" s="48" t="s">
        <v>142</v>
      </c>
      <c r="C1963" s="49" t="s">
        <v>14</v>
      </c>
      <c r="D1963" s="65">
        <f>(3.95+3.95+40.05)/1000</f>
        <v>4.7949999999999993E-2</v>
      </c>
      <c r="E1963" s="51"/>
      <c r="F1963" s="57"/>
    </row>
    <row r="1964" spans="1:28" s="58" customFormat="1" ht="30" customHeight="1" collapsed="1" x14ac:dyDescent="0.4">
      <c r="A1964" s="24">
        <f>A1962+1</f>
        <v>832</v>
      </c>
      <c r="B1964" s="59" t="s">
        <v>71</v>
      </c>
      <c r="C1964" s="26" t="s">
        <v>67</v>
      </c>
      <c r="D1964" s="40" t="s">
        <v>788</v>
      </c>
      <c r="E1964" s="66"/>
      <c r="F1964" s="57"/>
    </row>
    <row r="1965" spans="1:28" ht="31" customHeight="1" x14ac:dyDescent="0.35">
      <c r="A1965" s="24">
        <f>A1964+1</f>
        <v>833</v>
      </c>
      <c r="B1965" s="25" t="s">
        <v>755</v>
      </c>
      <c r="C1965" s="89" t="s">
        <v>29</v>
      </c>
      <c r="D1965" s="80">
        <f>((1.9*0.6*4*1))</f>
        <v>4.5599999999999996</v>
      </c>
      <c r="E1965" s="41"/>
      <c r="F1965" s="42"/>
    </row>
    <row r="1966" spans="1:28" ht="30" hidden="1" customHeight="1" outlineLevel="1" x14ac:dyDescent="0.35">
      <c r="A1966" s="47"/>
      <c r="B1966" s="48" t="s">
        <v>756</v>
      </c>
      <c r="C1966" s="49" t="s">
        <v>74</v>
      </c>
      <c r="D1966" s="68">
        <f>D1965*2</f>
        <v>9.1199999999999992</v>
      </c>
      <c r="E1966" s="78"/>
      <c r="F1966" s="42"/>
    </row>
    <row r="1967" spans="1:28" ht="36" customHeight="1" collapsed="1" x14ac:dyDescent="0.35">
      <c r="A1967" s="24">
        <f>A1965+1</f>
        <v>834</v>
      </c>
      <c r="B1967" s="59" t="s">
        <v>72</v>
      </c>
      <c r="C1967" s="26" t="s">
        <v>29</v>
      </c>
      <c r="D1967" s="67">
        <f>((0.09*2*2)+(0.09*2.6*2))</f>
        <v>0.82799999999999996</v>
      </c>
      <c r="E1967" s="41"/>
      <c r="F1967" s="42"/>
    </row>
    <row r="1968" spans="1:28" s="58" customFormat="1" ht="30" hidden="1" customHeight="1" outlineLevel="1" x14ac:dyDescent="0.4">
      <c r="A1968" s="54"/>
      <c r="B1968" s="48" t="s">
        <v>73</v>
      </c>
      <c r="C1968" s="49" t="s">
        <v>74</v>
      </c>
      <c r="D1968" s="68">
        <f>3.31*D1967</f>
        <v>2.7406799999999998</v>
      </c>
      <c r="E1968" s="69">
        <v>3.0000000000000001E-3</v>
      </c>
      <c r="F1968" s="57"/>
    </row>
    <row r="1969" spans="1:28" ht="36" customHeight="1" collapsed="1" x14ac:dyDescent="0.35">
      <c r="A1969" s="24">
        <f>A1967+1</f>
        <v>835</v>
      </c>
      <c r="B1969" s="59" t="s">
        <v>75</v>
      </c>
      <c r="C1969" s="26" t="s">
        <v>29</v>
      </c>
      <c r="D1969" s="67">
        <f>((0.09*2*2)+(0.09*2.6*2))</f>
        <v>0.82799999999999996</v>
      </c>
      <c r="E1969" s="41"/>
      <c r="F1969" s="42"/>
    </row>
    <row r="1970" spans="1:28" ht="36" customHeight="1" x14ac:dyDescent="0.35">
      <c r="A1970" s="24">
        <f>A1969+1</f>
        <v>836</v>
      </c>
      <c r="B1970" s="59" t="s">
        <v>76</v>
      </c>
      <c r="C1970" s="26" t="s">
        <v>29</v>
      </c>
      <c r="D1970" s="67">
        <f>((0.09*2*2)+(0.09*2.6*2))</f>
        <v>0.82799999999999996</v>
      </c>
      <c r="E1970" s="41"/>
      <c r="F1970" s="42"/>
    </row>
    <row r="1971" spans="1:28" s="58" customFormat="1" ht="30" customHeight="1" x14ac:dyDescent="0.4">
      <c r="A1971" s="24">
        <f>A1970+1</f>
        <v>837</v>
      </c>
      <c r="B1971" s="59" t="s">
        <v>77</v>
      </c>
      <c r="C1971" s="70" t="s">
        <v>29</v>
      </c>
      <c r="D1971" s="67">
        <f>((0.09*2*2)+(0.09*2.6*2))</f>
        <v>0.82799999999999996</v>
      </c>
      <c r="E1971" s="66"/>
      <c r="F1971" s="57"/>
    </row>
    <row r="1972" spans="1:28" s="58" customFormat="1" ht="30" hidden="1" customHeight="1" outlineLevel="1" x14ac:dyDescent="0.4">
      <c r="A1972" s="54"/>
      <c r="B1972" s="48" t="s">
        <v>78</v>
      </c>
      <c r="C1972" s="49" t="s">
        <v>74</v>
      </c>
      <c r="D1972" s="68">
        <f>D1971*0.255</f>
        <v>0.21113999999999999</v>
      </c>
      <c r="E1972" s="69">
        <v>1E-3</v>
      </c>
      <c r="F1972" s="57"/>
    </row>
    <row r="1973" spans="1:28" s="58" customFormat="1" ht="30" customHeight="1" collapsed="1" x14ac:dyDescent="0.4">
      <c r="A1973" s="24">
        <f>A1971+1</f>
        <v>838</v>
      </c>
      <c r="B1973" s="59" t="s">
        <v>79</v>
      </c>
      <c r="C1973" s="70" t="s">
        <v>29</v>
      </c>
      <c r="D1973" s="67">
        <f>((0.09*2*2)+(0.09*2.6*2))</f>
        <v>0.82799999999999996</v>
      </c>
      <c r="E1973" s="66"/>
      <c r="F1973" s="57"/>
    </row>
    <row r="1974" spans="1:28" s="58" customFormat="1" ht="30" hidden="1" customHeight="1" outlineLevel="1" x14ac:dyDescent="0.4">
      <c r="A1974" s="54"/>
      <c r="B1974" s="48" t="s">
        <v>80</v>
      </c>
      <c r="C1974" s="49" t="s">
        <v>74</v>
      </c>
      <c r="D1974" s="68">
        <f>D1973*0.36*2</f>
        <v>0.59615999999999991</v>
      </c>
      <c r="E1974" s="69"/>
      <c r="F1974" s="57"/>
    </row>
    <row r="1975" spans="1:28" s="39" customFormat="1" ht="21" customHeight="1" collapsed="1" x14ac:dyDescent="0.35">
      <c r="A1975" s="158" t="s">
        <v>789</v>
      </c>
      <c r="B1975" s="158"/>
      <c r="C1975" s="158"/>
      <c r="D1975" s="158"/>
      <c r="E1975" s="158"/>
      <c r="F1975" s="34"/>
      <c r="G1975" s="35"/>
      <c r="H1975" s="36"/>
      <c r="I1975" s="37"/>
      <c r="J1975" s="37"/>
      <c r="K1975" s="38"/>
      <c r="L1975" s="38"/>
      <c r="M1975" s="38"/>
      <c r="N1975" s="36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</row>
    <row r="1976" spans="1:28" ht="36" customHeight="1" x14ac:dyDescent="0.35">
      <c r="A1976" s="24">
        <f>A1973+1</f>
        <v>839</v>
      </c>
      <c r="B1976" s="59" t="s">
        <v>790</v>
      </c>
      <c r="C1976" s="26" t="s">
        <v>58</v>
      </c>
      <c r="D1976" s="73">
        <v>1</v>
      </c>
      <c r="E1976" s="41"/>
      <c r="F1976" s="42"/>
    </row>
    <row r="1977" spans="1:28" s="58" customFormat="1" ht="30" hidden="1" customHeight="1" outlineLevel="1" x14ac:dyDescent="0.4">
      <c r="A1977" s="54"/>
      <c r="B1977" s="48" t="s">
        <v>791</v>
      </c>
      <c r="C1977" s="49" t="s">
        <v>58</v>
      </c>
      <c r="D1977" s="55">
        <v>1</v>
      </c>
      <c r="E1977" s="69"/>
      <c r="F1977" s="57"/>
    </row>
    <row r="1978" spans="1:28" s="33" customFormat="1" ht="31" customHeight="1" collapsed="1" x14ac:dyDescent="0.35">
      <c r="A1978" s="24">
        <f>A1976+1</f>
        <v>840</v>
      </c>
      <c r="B1978" s="59" t="s">
        <v>504</v>
      </c>
      <c r="C1978" s="26" t="s">
        <v>58</v>
      </c>
      <c r="D1978" s="73">
        <v>3</v>
      </c>
      <c r="E1978" s="28"/>
      <c r="F1978" s="29"/>
      <c r="G1978" s="30"/>
      <c r="H1978" s="31"/>
      <c r="I1978" s="30"/>
      <c r="J1978" s="30"/>
      <c r="K1978" s="32"/>
      <c r="L1978" s="32"/>
      <c r="M1978" s="32"/>
      <c r="N1978" s="31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</row>
    <row r="1979" spans="1:28" s="39" customFormat="1" ht="46.3" hidden="1" outlineLevel="1" x14ac:dyDescent="0.35">
      <c r="A1979" s="74"/>
      <c r="B1979" s="48" t="s">
        <v>505</v>
      </c>
      <c r="C1979" s="49" t="s">
        <v>251</v>
      </c>
      <c r="D1979" s="55">
        <v>2</v>
      </c>
      <c r="E1979" s="76"/>
      <c r="F1979" s="34"/>
      <c r="G1979" s="35"/>
      <c r="H1979" s="36"/>
      <c r="I1979" s="37"/>
      <c r="J1979" s="37"/>
      <c r="K1979" s="38"/>
      <c r="L1979" s="38"/>
      <c r="M1979" s="38"/>
      <c r="N1979" s="36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</row>
    <row r="1980" spans="1:28" s="39" customFormat="1" ht="46.3" hidden="1" outlineLevel="1" x14ac:dyDescent="0.35">
      <c r="A1980" s="74"/>
      <c r="B1980" s="48" t="s">
        <v>773</v>
      </c>
      <c r="C1980" s="49" t="s">
        <v>251</v>
      </c>
      <c r="D1980" s="55">
        <v>1</v>
      </c>
      <c r="E1980" s="76"/>
      <c r="F1980" s="34"/>
      <c r="G1980" s="35"/>
      <c r="H1980" s="36"/>
      <c r="I1980" s="37"/>
      <c r="J1980" s="37"/>
      <c r="K1980" s="38"/>
      <c r="L1980" s="38"/>
      <c r="M1980" s="38"/>
      <c r="N1980" s="36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</row>
    <row r="1981" spans="1:28" s="33" customFormat="1" ht="31" customHeight="1" collapsed="1" x14ac:dyDescent="0.35">
      <c r="A1981" s="24">
        <f>A1978+1</f>
        <v>841</v>
      </c>
      <c r="B1981" s="59" t="s">
        <v>148</v>
      </c>
      <c r="C1981" s="26" t="s">
        <v>58</v>
      </c>
      <c r="D1981" s="73">
        <v>1</v>
      </c>
      <c r="E1981" s="28"/>
      <c r="F1981" s="29"/>
      <c r="G1981" s="30"/>
      <c r="H1981" s="31"/>
      <c r="I1981" s="30"/>
      <c r="J1981" s="30"/>
      <c r="K1981" s="32"/>
      <c r="L1981" s="32"/>
      <c r="M1981" s="32"/>
      <c r="N1981" s="31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</row>
    <row r="1982" spans="1:28" s="39" customFormat="1" ht="32.15" hidden="1" customHeight="1" outlineLevel="1" x14ac:dyDescent="0.35">
      <c r="A1982" s="74"/>
      <c r="B1982" s="48" t="s">
        <v>149</v>
      </c>
      <c r="C1982" s="49" t="s">
        <v>251</v>
      </c>
      <c r="D1982" s="55">
        <v>1</v>
      </c>
      <c r="E1982" s="76"/>
      <c r="F1982" s="34"/>
      <c r="G1982" s="35"/>
      <c r="H1982" s="36"/>
      <c r="I1982" s="37"/>
      <c r="J1982" s="37"/>
      <c r="K1982" s="38"/>
      <c r="L1982" s="38"/>
      <c r="M1982" s="38"/>
      <c r="N1982" s="36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</row>
    <row r="1983" spans="1:28" s="33" customFormat="1" ht="30.9" collapsed="1" x14ac:dyDescent="0.35">
      <c r="A1983" s="24">
        <f>A1981+1</f>
        <v>842</v>
      </c>
      <c r="B1983" s="71" t="s">
        <v>528</v>
      </c>
      <c r="C1983" s="40" t="s">
        <v>132</v>
      </c>
      <c r="D1983" s="108">
        <v>5.5</v>
      </c>
      <c r="E1983" s="79" t="s">
        <v>151</v>
      </c>
      <c r="F1983" s="29"/>
      <c r="G1983" s="30"/>
      <c r="H1983" s="31"/>
      <c r="I1983" s="30"/>
      <c r="J1983" s="30"/>
      <c r="K1983" s="32"/>
      <c r="L1983" s="32"/>
      <c r="M1983" s="32"/>
      <c r="N1983" s="31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</row>
    <row r="1984" spans="1:28" s="39" customFormat="1" ht="36" hidden="1" customHeight="1" outlineLevel="1" x14ac:dyDescent="0.35">
      <c r="A1984" s="74"/>
      <c r="B1984" s="48" t="s">
        <v>529</v>
      </c>
      <c r="C1984" s="49" t="s">
        <v>14</v>
      </c>
      <c r="D1984" s="65">
        <f>5.5*12.28/1000*1.1</f>
        <v>7.4293999999999999E-2</v>
      </c>
      <c r="E1984" s="76"/>
      <c r="F1984" s="34"/>
      <c r="G1984" s="35"/>
      <c r="H1984" s="36"/>
      <c r="I1984" s="37"/>
      <c r="J1984" s="37"/>
      <c r="K1984" s="38"/>
      <c r="L1984" s="38"/>
      <c r="M1984" s="38"/>
      <c r="N1984" s="36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</row>
    <row r="1985" spans="1:28" s="58" customFormat="1" ht="30" hidden="1" customHeight="1" outlineLevel="1" x14ac:dyDescent="0.4">
      <c r="A1985" s="54"/>
      <c r="B1985" s="48" t="s">
        <v>530</v>
      </c>
      <c r="C1985" s="49" t="s">
        <v>58</v>
      </c>
      <c r="D1985" s="55">
        <v>3</v>
      </c>
      <c r="E1985" s="51">
        <v>7.0000000000000001E-3</v>
      </c>
      <c r="F1985" s="57"/>
    </row>
    <row r="1986" spans="1:28" s="39" customFormat="1" ht="36" hidden="1" customHeight="1" outlineLevel="1" x14ac:dyDescent="0.35">
      <c r="A1986" s="74"/>
      <c r="B1986" s="48" t="s">
        <v>792</v>
      </c>
      <c r="C1986" s="49" t="s">
        <v>58</v>
      </c>
      <c r="D1986" s="49">
        <v>1</v>
      </c>
      <c r="E1986" s="78">
        <v>1E-3</v>
      </c>
      <c r="F1986" s="34"/>
      <c r="G1986" s="35"/>
      <c r="H1986" s="36"/>
      <c r="I1986" s="37"/>
      <c r="J1986" s="37"/>
      <c r="K1986" s="38"/>
      <c r="L1986" s="38"/>
      <c r="M1986" s="38"/>
      <c r="N1986" s="36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</row>
    <row r="1987" spans="1:28" s="39" customFormat="1" ht="36" hidden="1" customHeight="1" outlineLevel="1" x14ac:dyDescent="0.35">
      <c r="A1987" s="74"/>
      <c r="B1987" s="48" t="s">
        <v>774</v>
      </c>
      <c r="C1987" s="49" t="s">
        <v>58</v>
      </c>
      <c r="D1987" s="49">
        <v>1</v>
      </c>
      <c r="E1987" s="78">
        <v>4.0000000000000001E-3</v>
      </c>
      <c r="F1987" s="34"/>
      <c r="G1987" s="35"/>
      <c r="H1987" s="36"/>
      <c r="I1987" s="37"/>
      <c r="J1987" s="37"/>
      <c r="K1987" s="38"/>
      <c r="L1987" s="38"/>
      <c r="M1987" s="38"/>
      <c r="N1987" s="36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</row>
    <row r="1988" spans="1:28" s="33" customFormat="1" ht="30.9" collapsed="1" x14ac:dyDescent="0.35">
      <c r="A1988" s="24">
        <f>A1983+1</f>
        <v>843</v>
      </c>
      <c r="B1988" s="71" t="s">
        <v>533</v>
      </c>
      <c r="C1988" s="40" t="s">
        <v>132</v>
      </c>
      <c r="D1988" s="108">
        <v>3.8</v>
      </c>
      <c r="E1988" s="79" t="s">
        <v>151</v>
      </c>
      <c r="F1988" s="29"/>
      <c r="G1988" s="30"/>
      <c r="H1988" s="31"/>
      <c r="I1988" s="30"/>
      <c r="J1988" s="30"/>
      <c r="K1988" s="32"/>
      <c r="L1988" s="32"/>
      <c r="M1988" s="32"/>
      <c r="N1988" s="31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</row>
    <row r="1989" spans="1:28" s="39" customFormat="1" ht="36" hidden="1" customHeight="1" outlineLevel="1" x14ac:dyDescent="0.35">
      <c r="A1989" s="74"/>
      <c r="B1989" s="48" t="s">
        <v>534</v>
      </c>
      <c r="C1989" s="49" t="s">
        <v>14</v>
      </c>
      <c r="D1989" s="65">
        <f>3.8*15.98/1000</f>
        <v>6.0723999999999993E-2</v>
      </c>
      <c r="E1989" s="76"/>
      <c r="F1989" s="34"/>
      <c r="G1989" s="35"/>
      <c r="H1989" s="36"/>
      <c r="I1989" s="37"/>
      <c r="J1989" s="37"/>
      <c r="K1989" s="38"/>
      <c r="L1989" s="38"/>
      <c r="M1989" s="38"/>
      <c r="N1989" s="36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</row>
    <row r="1990" spans="1:28" s="58" customFormat="1" ht="30" hidden="1" customHeight="1" outlineLevel="1" x14ac:dyDescent="0.4">
      <c r="A1990" s="54"/>
      <c r="B1990" s="48" t="s">
        <v>535</v>
      </c>
      <c r="C1990" s="49" t="s">
        <v>58</v>
      </c>
      <c r="D1990" s="55">
        <v>3</v>
      </c>
      <c r="E1990" s="51">
        <v>1.0999999999999999E-2</v>
      </c>
      <c r="F1990" s="57"/>
    </row>
    <row r="1991" spans="1:28" s="58" customFormat="1" ht="30.9" collapsed="1" x14ac:dyDescent="0.4">
      <c r="A1991" s="24">
        <f>A1988+1</f>
        <v>844</v>
      </c>
      <c r="B1991" s="59" t="s">
        <v>793</v>
      </c>
      <c r="C1991" s="70" t="s">
        <v>132</v>
      </c>
      <c r="D1991" s="40">
        <v>3</v>
      </c>
      <c r="E1991" s="79" t="s">
        <v>151</v>
      </c>
      <c r="F1991" s="57"/>
    </row>
    <row r="1992" spans="1:28" s="58" customFormat="1" ht="30.9" hidden="1" outlineLevel="1" x14ac:dyDescent="0.4">
      <c r="A1992" s="54"/>
      <c r="B1992" s="48" t="s">
        <v>794</v>
      </c>
      <c r="C1992" s="49" t="s">
        <v>14</v>
      </c>
      <c r="D1992" s="65">
        <f>3*15.98/1000</f>
        <v>4.7939999999999997E-2</v>
      </c>
      <c r="E1992" s="51"/>
      <c r="F1992" s="57"/>
    </row>
    <row r="1993" spans="1:28" s="58" customFormat="1" ht="30.9" hidden="1" outlineLevel="1" x14ac:dyDescent="0.4">
      <c r="A1993" s="54"/>
      <c r="B1993" s="48" t="s">
        <v>795</v>
      </c>
      <c r="C1993" s="49" t="s">
        <v>14</v>
      </c>
      <c r="D1993" s="65">
        <f>3*20.91/1000</f>
        <v>6.2730000000000008E-2</v>
      </c>
      <c r="E1993" s="51"/>
      <c r="F1993" s="57"/>
    </row>
    <row r="1994" spans="1:28" s="39" customFormat="1" ht="36" hidden="1" customHeight="1" outlineLevel="1" x14ac:dyDescent="0.35">
      <c r="A1994" s="74"/>
      <c r="B1994" s="48" t="s">
        <v>796</v>
      </c>
      <c r="C1994" s="49" t="s">
        <v>58</v>
      </c>
      <c r="D1994" s="49">
        <v>1</v>
      </c>
      <c r="E1994" s="78">
        <v>6.0000000000000001E-3</v>
      </c>
      <c r="F1994" s="34"/>
      <c r="G1994" s="35"/>
      <c r="H1994" s="36"/>
      <c r="I1994" s="37"/>
      <c r="J1994" s="37"/>
      <c r="K1994" s="38"/>
      <c r="L1994" s="38"/>
      <c r="M1994" s="38"/>
      <c r="N1994" s="36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</row>
    <row r="1995" spans="1:28" s="39" customFormat="1" ht="36" hidden="1" customHeight="1" outlineLevel="1" x14ac:dyDescent="0.35">
      <c r="A1995" s="74"/>
      <c r="B1995" s="48" t="s">
        <v>797</v>
      </c>
      <c r="C1995" s="49" t="s">
        <v>58</v>
      </c>
      <c r="D1995" s="49">
        <v>1</v>
      </c>
      <c r="E1995" s="78">
        <v>4.0000000000000001E-3</v>
      </c>
      <c r="F1995" s="34"/>
      <c r="G1995" s="35"/>
      <c r="H1995" s="36"/>
      <c r="I1995" s="37"/>
      <c r="J1995" s="37"/>
      <c r="K1995" s="38"/>
      <c r="L1995" s="38"/>
      <c r="M1995" s="38"/>
      <c r="N1995" s="36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</row>
    <row r="1996" spans="1:28" s="58" customFormat="1" ht="30" customHeight="1" collapsed="1" x14ac:dyDescent="0.4">
      <c r="A1996" s="24">
        <f>A1991+1</f>
        <v>845</v>
      </c>
      <c r="B1996" s="59" t="s">
        <v>158</v>
      </c>
      <c r="C1996" s="70" t="s">
        <v>67</v>
      </c>
      <c r="D1996" s="40" t="s">
        <v>798</v>
      </c>
      <c r="E1996" s="66"/>
      <c r="F1996" s="57"/>
    </row>
    <row r="1997" spans="1:28" s="58" customFormat="1" ht="30" hidden="1" customHeight="1" outlineLevel="1" x14ac:dyDescent="0.4">
      <c r="A1997" s="54"/>
      <c r="B1997" s="48" t="s">
        <v>426</v>
      </c>
      <c r="C1997" s="49" t="s">
        <v>58</v>
      </c>
      <c r="D1997" s="55">
        <v>2</v>
      </c>
      <c r="E1997" s="51">
        <v>5.0000000000000001E-3</v>
      </c>
      <c r="F1997" s="57"/>
    </row>
    <row r="1998" spans="1:28" s="58" customFormat="1" ht="30" hidden="1" customHeight="1" outlineLevel="1" x14ac:dyDescent="0.4">
      <c r="A1998" s="54"/>
      <c r="B1998" s="48" t="s">
        <v>552</v>
      </c>
      <c r="C1998" s="49" t="s">
        <v>58</v>
      </c>
      <c r="D1998" s="55">
        <v>2</v>
      </c>
      <c r="E1998" s="51">
        <v>2E-3</v>
      </c>
      <c r="F1998" s="57"/>
    </row>
    <row r="1999" spans="1:28" s="58" customFormat="1" ht="30" hidden="1" customHeight="1" outlineLevel="1" x14ac:dyDescent="0.4">
      <c r="A1999" s="54"/>
      <c r="B1999" s="48" t="s">
        <v>160</v>
      </c>
      <c r="C1999" s="49" t="s">
        <v>58</v>
      </c>
      <c r="D1999" s="55">
        <v>1</v>
      </c>
      <c r="E1999" s="51">
        <v>2E-3</v>
      </c>
      <c r="F1999" s="57"/>
    </row>
    <row r="2000" spans="1:28" ht="31" customHeight="1" collapsed="1" x14ac:dyDescent="0.35">
      <c r="A2000" s="24">
        <f>A1996+1</f>
        <v>846</v>
      </c>
      <c r="B2000" s="25" t="s">
        <v>655</v>
      </c>
      <c r="C2000" s="89" t="s">
        <v>58</v>
      </c>
      <c r="D2000" s="26">
        <v>1</v>
      </c>
      <c r="E2000" s="41"/>
      <c r="F2000" s="42"/>
    </row>
    <row r="2001" spans="1:203" ht="30" hidden="1" customHeight="1" outlineLevel="1" x14ac:dyDescent="0.35">
      <c r="A2001" s="47"/>
      <c r="B2001" s="48" t="s">
        <v>656</v>
      </c>
      <c r="C2001" s="49" t="s">
        <v>251</v>
      </c>
      <c r="D2001" s="49">
        <v>1</v>
      </c>
      <c r="E2001" s="78"/>
      <c r="F2001" s="42"/>
    </row>
    <row r="2002" spans="1:203" s="58" customFormat="1" ht="30" customHeight="1" collapsed="1" x14ac:dyDescent="0.4">
      <c r="A2002" s="24">
        <f>A2000+1</f>
        <v>847</v>
      </c>
      <c r="B2002" s="71" t="s">
        <v>240</v>
      </c>
      <c r="C2002" s="40" t="s">
        <v>58</v>
      </c>
      <c r="D2002" s="82">
        <v>3</v>
      </c>
      <c r="E2002" s="66"/>
      <c r="F2002" s="57"/>
    </row>
    <row r="2003" spans="1:203" s="58" customFormat="1" ht="30" hidden="1" customHeight="1" outlineLevel="1" x14ac:dyDescent="0.4">
      <c r="A2003" s="54"/>
      <c r="B2003" s="48" t="s">
        <v>241</v>
      </c>
      <c r="C2003" s="49" t="s">
        <v>14</v>
      </c>
      <c r="D2003" s="65">
        <f>0.6*1.88*D2002/1000</f>
        <v>3.3839999999999994E-3</v>
      </c>
      <c r="E2003" s="51"/>
      <c r="F2003" s="57"/>
    </row>
    <row r="2004" spans="1:203" s="58" customFormat="1" ht="30" hidden="1" customHeight="1" outlineLevel="1" x14ac:dyDescent="0.4">
      <c r="A2004" s="54"/>
      <c r="B2004" s="48" t="s">
        <v>242</v>
      </c>
      <c r="C2004" s="49" t="s">
        <v>58</v>
      </c>
      <c r="D2004" s="55">
        <f>4*D2002</f>
        <v>12</v>
      </c>
      <c r="E2004" s="51"/>
      <c r="F2004" s="57"/>
    </row>
    <row r="2005" spans="1:203" s="58" customFormat="1" ht="30" hidden="1" customHeight="1" outlineLevel="1" x14ac:dyDescent="0.4">
      <c r="A2005" s="54"/>
      <c r="B2005" s="48" t="s">
        <v>243</v>
      </c>
      <c r="C2005" s="49" t="s">
        <v>58</v>
      </c>
      <c r="D2005" s="55">
        <f>12*D2002</f>
        <v>36</v>
      </c>
      <c r="E2005" s="51"/>
      <c r="F2005" s="57"/>
    </row>
    <row r="2006" spans="1:203" s="58" customFormat="1" ht="30" hidden="1" customHeight="1" outlineLevel="1" x14ac:dyDescent="0.4">
      <c r="A2006" s="54"/>
      <c r="B2006" s="48" t="s">
        <v>244</v>
      </c>
      <c r="C2006" s="49" t="s">
        <v>58</v>
      </c>
      <c r="D2006" s="55">
        <f>4*D2002</f>
        <v>12</v>
      </c>
      <c r="E2006" s="51"/>
      <c r="F2006" s="57"/>
    </row>
    <row r="2007" spans="1:203" s="58" customFormat="1" ht="30" hidden="1" customHeight="1" outlineLevel="1" x14ac:dyDescent="0.4">
      <c r="A2007" s="54"/>
      <c r="B2007" s="48" t="s">
        <v>245</v>
      </c>
      <c r="C2007" s="49" t="s">
        <v>58</v>
      </c>
      <c r="D2007" s="55">
        <f>8*D2002</f>
        <v>24</v>
      </c>
      <c r="E2007" s="51"/>
      <c r="F2007" s="57"/>
    </row>
    <row r="2008" spans="1:203" s="58" customFormat="1" ht="30" hidden="1" customHeight="1" outlineLevel="1" x14ac:dyDescent="0.4">
      <c r="A2008" s="54"/>
      <c r="B2008" s="48" t="s">
        <v>246</v>
      </c>
      <c r="C2008" s="49" t="s">
        <v>58</v>
      </c>
      <c r="D2008" s="55">
        <f>16*D2002</f>
        <v>48</v>
      </c>
      <c r="E2008" s="51"/>
      <c r="F2008" s="57"/>
    </row>
    <row r="2009" spans="1:203" s="58" customFormat="1" ht="30" hidden="1" customHeight="1" outlineLevel="1" x14ac:dyDescent="0.4">
      <c r="A2009" s="54"/>
      <c r="B2009" s="48" t="s">
        <v>247</v>
      </c>
      <c r="C2009" s="49" t="s">
        <v>58</v>
      </c>
      <c r="D2009" s="55">
        <f>16*D2002</f>
        <v>48</v>
      </c>
      <c r="E2009" s="51"/>
      <c r="F2009" s="57"/>
    </row>
    <row r="2010" spans="1:203" s="43" customFormat="1" ht="36" customHeight="1" collapsed="1" x14ac:dyDescent="0.35">
      <c r="A2010" s="24">
        <f>A2002+1</f>
        <v>848</v>
      </c>
      <c r="B2010" s="59" t="s">
        <v>72</v>
      </c>
      <c r="C2010" s="26" t="s">
        <v>29</v>
      </c>
      <c r="D2010" s="104">
        <f>1.54+1.36</f>
        <v>2.9000000000000004</v>
      </c>
      <c r="E2010" s="41"/>
      <c r="F2010" s="42"/>
      <c r="H2010" s="44"/>
      <c r="K2010" s="45"/>
      <c r="L2010" s="45"/>
      <c r="M2010" s="45"/>
      <c r="N2010" s="44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6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  <c r="BP2010" s="46"/>
      <c r="BQ2010" s="46"/>
      <c r="BR2010" s="46"/>
      <c r="BS2010" s="46"/>
      <c r="BT2010" s="46"/>
      <c r="BU2010" s="46"/>
      <c r="BV2010" s="46"/>
      <c r="BW2010" s="46"/>
      <c r="BX2010" s="46"/>
      <c r="BY2010" s="46"/>
      <c r="BZ2010" s="46"/>
      <c r="CA2010" s="46"/>
      <c r="CB2010" s="46"/>
      <c r="CC2010" s="46"/>
      <c r="CD2010" s="46"/>
      <c r="CE2010" s="46"/>
      <c r="CF2010" s="46"/>
      <c r="CG2010" s="46"/>
      <c r="CH2010" s="46"/>
      <c r="CI2010" s="46"/>
      <c r="CJ2010" s="46"/>
      <c r="CK2010" s="46"/>
      <c r="CL2010" s="46"/>
      <c r="CM2010" s="46"/>
      <c r="CN2010" s="46"/>
      <c r="CO2010" s="46"/>
      <c r="CP2010" s="46"/>
      <c r="CQ2010" s="46"/>
      <c r="CR2010" s="46"/>
      <c r="CS2010" s="46"/>
      <c r="CT2010" s="46"/>
      <c r="CU2010" s="46"/>
      <c r="CV2010" s="46"/>
      <c r="CW2010" s="46"/>
      <c r="CX2010" s="46"/>
      <c r="CY2010" s="46"/>
      <c r="CZ2010" s="46"/>
      <c r="DA2010" s="46"/>
      <c r="DB2010" s="46"/>
      <c r="DC2010" s="46"/>
      <c r="DD2010" s="46"/>
      <c r="DE2010" s="46"/>
      <c r="DF2010" s="46"/>
      <c r="DG2010" s="46"/>
      <c r="DH2010" s="46"/>
      <c r="DI2010" s="46"/>
      <c r="DJ2010" s="46"/>
      <c r="DK2010" s="46"/>
      <c r="DL2010" s="46"/>
      <c r="DM2010" s="46"/>
      <c r="DN2010" s="46"/>
      <c r="DO2010" s="46"/>
      <c r="DP2010" s="46"/>
      <c r="DQ2010" s="46"/>
      <c r="DR2010" s="46"/>
      <c r="DS2010" s="46"/>
      <c r="DT2010" s="46"/>
      <c r="DU2010" s="46"/>
      <c r="DV2010" s="46"/>
      <c r="DW2010" s="46"/>
      <c r="DX2010" s="46"/>
      <c r="DY2010" s="46"/>
      <c r="DZ2010" s="46"/>
      <c r="EA2010" s="46"/>
      <c r="EB2010" s="46"/>
      <c r="EC2010" s="46"/>
      <c r="ED2010" s="46"/>
      <c r="EE2010" s="46"/>
      <c r="EF2010" s="46"/>
      <c r="EG2010" s="46"/>
      <c r="EH2010" s="46"/>
      <c r="EI2010" s="46"/>
      <c r="EJ2010" s="46"/>
      <c r="EK2010" s="46"/>
      <c r="EL2010" s="46"/>
      <c r="EM2010" s="46"/>
      <c r="EN2010" s="46"/>
      <c r="EO2010" s="46"/>
      <c r="EP2010" s="46"/>
      <c r="EQ2010" s="46"/>
      <c r="ER2010" s="46"/>
      <c r="ES2010" s="46"/>
      <c r="ET2010" s="46"/>
      <c r="EU2010" s="46"/>
      <c r="EV2010" s="46"/>
      <c r="EW2010" s="46"/>
      <c r="EX2010" s="46"/>
      <c r="EY2010" s="46"/>
      <c r="EZ2010" s="46"/>
      <c r="FA2010" s="46"/>
      <c r="FB2010" s="46"/>
      <c r="FC2010" s="46"/>
      <c r="FD2010" s="46"/>
      <c r="FE2010" s="46"/>
      <c r="FF2010" s="46"/>
      <c r="FG2010" s="46"/>
      <c r="FH2010" s="46"/>
      <c r="FI2010" s="46"/>
      <c r="FJ2010" s="46"/>
      <c r="FK2010" s="46"/>
      <c r="FL2010" s="46"/>
      <c r="FM2010" s="46"/>
      <c r="FN2010" s="46"/>
      <c r="FO2010" s="46"/>
      <c r="FP2010" s="46"/>
      <c r="FQ2010" s="46"/>
      <c r="FR2010" s="46"/>
      <c r="FS2010" s="46"/>
      <c r="FT2010" s="46"/>
      <c r="FU2010" s="46"/>
      <c r="FV2010" s="46"/>
      <c r="FW2010" s="46"/>
      <c r="FX2010" s="46"/>
      <c r="FY2010" s="46"/>
      <c r="FZ2010" s="46"/>
      <c r="GA2010" s="46"/>
      <c r="GB2010" s="46"/>
      <c r="GC2010" s="46"/>
      <c r="GD2010" s="46"/>
      <c r="GE2010" s="46"/>
      <c r="GF2010" s="46"/>
      <c r="GG2010" s="46"/>
      <c r="GH2010" s="46"/>
      <c r="GI2010" s="46"/>
      <c r="GJ2010" s="46"/>
      <c r="GK2010" s="46"/>
      <c r="GL2010" s="46"/>
      <c r="GM2010" s="46"/>
      <c r="GN2010" s="46"/>
      <c r="GO2010" s="46"/>
      <c r="GP2010" s="46"/>
      <c r="GQ2010" s="46"/>
      <c r="GR2010" s="46"/>
      <c r="GS2010" s="46"/>
      <c r="GT2010" s="46"/>
      <c r="GU2010" s="46"/>
    </row>
    <row r="2011" spans="1:203" s="58" customFormat="1" ht="30" hidden="1" customHeight="1" outlineLevel="1" x14ac:dyDescent="0.4">
      <c r="A2011" s="54"/>
      <c r="B2011" s="48" t="s">
        <v>73</v>
      </c>
      <c r="C2011" s="49" t="s">
        <v>74</v>
      </c>
      <c r="D2011" s="68">
        <f>3.31*D2010</f>
        <v>9.599000000000002</v>
      </c>
      <c r="E2011" s="69">
        <v>0.01</v>
      </c>
      <c r="F2011" s="57"/>
    </row>
    <row r="2012" spans="1:203" s="43" customFormat="1" ht="36" customHeight="1" collapsed="1" x14ac:dyDescent="0.35">
      <c r="A2012" s="24">
        <f>A2010+1</f>
        <v>849</v>
      </c>
      <c r="B2012" s="59" t="s">
        <v>75</v>
      </c>
      <c r="C2012" s="26" t="s">
        <v>29</v>
      </c>
      <c r="D2012" s="104">
        <f>1.54+1.36</f>
        <v>2.9000000000000004</v>
      </c>
      <c r="E2012" s="41"/>
      <c r="F2012" s="42"/>
      <c r="H2012" s="44"/>
      <c r="K2012" s="45"/>
      <c r="L2012" s="45"/>
      <c r="M2012" s="45"/>
      <c r="N2012" s="44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6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  <c r="BP2012" s="46"/>
      <c r="BQ2012" s="46"/>
      <c r="BR2012" s="46"/>
      <c r="BS2012" s="46"/>
      <c r="BT2012" s="46"/>
      <c r="BU2012" s="46"/>
      <c r="BV2012" s="46"/>
      <c r="BW2012" s="46"/>
      <c r="BX2012" s="46"/>
      <c r="BY2012" s="46"/>
      <c r="BZ2012" s="46"/>
      <c r="CA2012" s="46"/>
      <c r="CB2012" s="46"/>
      <c r="CC2012" s="46"/>
      <c r="CD2012" s="46"/>
      <c r="CE2012" s="46"/>
      <c r="CF2012" s="46"/>
      <c r="CG2012" s="46"/>
      <c r="CH2012" s="46"/>
      <c r="CI2012" s="46"/>
      <c r="CJ2012" s="46"/>
      <c r="CK2012" s="46"/>
      <c r="CL2012" s="46"/>
      <c r="CM2012" s="46"/>
      <c r="CN2012" s="46"/>
      <c r="CO2012" s="46"/>
      <c r="CP2012" s="46"/>
      <c r="CQ2012" s="46"/>
      <c r="CR2012" s="46"/>
      <c r="CS2012" s="46"/>
      <c r="CT2012" s="46"/>
      <c r="CU2012" s="46"/>
      <c r="CV2012" s="46"/>
      <c r="CW2012" s="46"/>
      <c r="CX2012" s="46"/>
      <c r="CY2012" s="46"/>
      <c r="CZ2012" s="46"/>
      <c r="DA2012" s="46"/>
      <c r="DB2012" s="46"/>
      <c r="DC2012" s="46"/>
      <c r="DD2012" s="46"/>
      <c r="DE2012" s="46"/>
      <c r="DF2012" s="46"/>
      <c r="DG2012" s="46"/>
      <c r="DH2012" s="46"/>
      <c r="DI2012" s="46"/>
      <c r="DJ2012" s="46"/>
      <c r="DK2012" s="46"/>
      <c r="DL2012" s="46"/>
      <c r="DM2012" s="46"/>
      <c r="DN2012" s="46"/>
      <c r="DO2012" s="46"/>
      <c r="DP2012" s="46"/>
      <c r="DQ2012" s="46"/>
      <c r="DR2012" s="46"/>
      <c r="DS2012" s="46"/>
      <c r="DT2012" s="46"/>
      <c r="DU2012" s="46"/>
      <c r="DV2012" s="46"/>
      <c r="DW2012" s="46"/>
      <c r="DX2012" s="46"/>
      <c r="DY2012" s="46"/>
      <c r="DZ2012" s="46"/>
      <c r="EA2012" s="46"/>
      <c r="EB2012" s="46"/>
      <c r="EC2012" s="46"/>
      <c r="ED2012" s="46"/>
      <c r="EE2012" s="46"/>
      <c r="EF2012" s="46"/>
      <c r="EG2012" s="46"/>
      <c r="EH2012" s="46"/>
      <c r="EI2012" s="46"/>
      <c r="EJ2012" s="46"/>
      <c r="EK2012" s="46"/>
      <c r="EL2012" s="46"/>
      <c r="EM2012" s="46"/>
      <c r="EN2012" s="46"/>
      <c r="EO2012" s="46"/>
      <c r="EP2012" s="46"/>
      <c r="EQ2012" s="46"/>
      <c r="ER2012" s="46"/>
      <c r="ES2012" s="46"/>
      <c r="ET2012" s="46"/>
      <c r="EU2012" s="46"/>
      <c r="EV2012" s="46"/>
      <c r="EW2012" s="46"/>
      <c r="EX2012" s="46"/>
      <c r="EY2012" s="46"/>
      <c r="EZ2012" s="46"/>
      <c r="FA2012" s="46"/>
      <c r="FB2012" s="46"/>
      <c r="FC2012" s="46"/>
      <c r="FD2012" s="46"/>
      <c r="FE2012" s="46"/>
      <c r="FF2012" s="46"/>
      <c r="FG2012" s="46"/>
      <c r="FH2012" s="46"/>
      <c r="FI2012" s="46"/>
      <c r="FJ2012" s="46"/>
      <c r="FK2012" s="46"/>
      <c r="FL2012" s="46"/>
      <c r="FM2012" s="46"/>
      <c r="FN2012" s="46"/>
      <c r="FO2012" s="46"/>
      <c r="FP2012" s="46"/>
      <c r="FQ2012" s="46"/>
      <c r="FR2012" s="46"/>
      <c r="FS2012" s="46"/>
      <c r="FT2012" s="46"/>
      <c r="FU2012" s="46"/>
      <c r="FV2012" s="46"/>
      <c r="FW2012" s="46"/>
      <c r="FX2012" s="46"/>
      <c r="FY2012" s="46"/>
      <c r="FZ2012" s="46"/>
      <c r="GA2012" s="46"/>
      <c r="GB2012" s="46"/>
      <c r="GC2012" s="46"/>
      <c r="GD2012" s="46"/>
      <c r="GE2012" s="46"/>
      <c r="GF2012" s="46"/>
      <c r="GG2012" s="46"/>
      <c r="GH2012" s="46"/>
      <c r="GI2012" s="46"/>
      <c r="GJ2012" s="46"/>
      <c r="GK2012" s="46"/>
      <c r="GL2012" s="46"/>
      <c r="GM2012" s="46"/>
      <c r="GN2012" s="46"/>
      <c r="GO2012" s="46"/>
      <c r="GP2012" s="46"/>
      <c r="GQ2012" s="46"/>
      <c r="GR2012" s="46"/>
      <c r="GS2012" s="46"/>
      <c r="GT2012" s="46"/>
      <c r="GU2012" s="46"/>
    </row>
    <row r="2013" spans="1:203" s="43" customFormat="1" ht="36" customHeight="1" x14ac:dyDescent="0.35">
      <c r="A2013" s="24">
        <f>A2012+1</f>
        <v>850</v>
      </c>
      <c r="B2013" s="59" t="s">
        <v>76</v>
      </c>
      <c r="C2013" s="26" t="s">
        <v>29</v>
      </c>
      <c r="D2013" s="104">
        <f>1.54+1.36</f>
        <v>2.9000000000000004</v>
      </c>
      <c r="E2013" s="41"/>
      <c r="F2013" s="42"/>
      <c r="H2013" s="44"/>
      <c r="K2013" s="45"/>
      <c r="L2013" s="45"/>
      <c r="M2013" s="45"/>
      <c r="N2013" s="44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6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  <c r="BP2013" s="46"/>
      <c r="BQ2013" s="46"/>
      <c r="BR2013" s="46"/>
      <c r="BS2013" s="46"/>
      <c r="BT2013" s="46"/>
      <c r="BU2013" s="46"/>
      <c r="BV2013" s="46"/>
      <c r="BW2013" s="46"/>
      <c r="BX2013" s="46"/>
      <c r="BY2013" s="46"/>
      <c r="BZ2013" s="46"/>
      <c r="CA2013" s="46"/>
      <c r="CB2013" s="46"/>
      <c r="CC2013" s="46"/>
      <c r="CD2013" s="46"/>
      <c r="CE2013" s="46"/>
      <c r="CF2013" s="46"/>
      <c r="CG2013" s="46"/>
      <c r="CH2013" s="46"/>
      <c r="CI2013" s="46"/>
      <c r="CJ2013" s="46"/>
      <c r="CK2013" s="46"/>
      <c r="CL2013" s="46"/>
      <c r="CM2013" s="46"/>
      <c r="CN2013" s="46"/>
      <c r="CO2013" s="46"/>
      <c r="CP2013" s="46"/>
      <c r="CQ2013" s="46"/>
      <c r="CR2013" s="46"/>
      <c r="CS2013" s="46"/>
      <c r="CT2013" s="46"/>
      <c r="CU2013" s="46"/>
      <c r="CV2013" s="46"/>
      <c r="CW2013" s="46"/>
      <c r="CX2013" s="46"/>
      <c r="CY2013" s="46"/>
      <c r="CZ2013" s="46"/>
      <c r="DA2013" s="46"/>
      <c r="DB2013" s="46"/>
      <c r="DC2013" s="46"/>
      <c r="DD2013" s="46"/>
      <c r="DE2013" s="46"/>
      <c r="DF2013" s="46"/>
      <c r="DG2013" s="46"/>
      <c r="DH2013" s="46"/>
      <c r="DI2013" s="46"/>
      <c r="DJ2013" s="46"/>
      <c r="DK2013" s="46"/>
      <c r="DL2013" s="46"/>
      <c r="DM2013" s="46"/>
      <c r="DN2013" s="46"/>
      <c r="DO2013" s="46"/>
      <c r="DP2013" s="46"/>
      <c r="DQ2013" s="46"/>
      <c r="DR2013" s="46"/>
      <c r="DS2013" s="46"/>
      <c r="DT2013" s="46"/>
      <c r="DU2013" s="46"/>
      <c r="DV2013" s="46"/>
      <c r="DW2013" s="46"/>
      <c r="DX2013" s="46"/>
      <c r="DY2013" s="46"/>
      <c r="DZ2013" s="46"/>
      <c r="EA2013" s="46"/>
      <c r="EB2013" s="46"/>
      <c r="EC2013" s="46"/>
      <c r="ED2013" s="46"/>
      <c r="EE2013" s="46"/>
      <c r="EF2013" s="46"/>
      <c r="EG2013" s="46"/>
      <c r="EH2013" s="46"/>
      <c r="EI2013" s="46"/>
      <c r="EJ2013" s="46"/>
      <c r="EK2013" s="46"/>
      <c r="EL2013" s="46"/>
      <c r="EM2013" s="46"/>
      <c r="EN2013" s="46"/>
      <c r="EO2013" s="46"/>
      <c r="EP2013" s="46"/>
      <c r="EQ2013" s="46"/>
      <c r="ER2013" s="46"/>
      <c r="ES2013" s="46"/>
      <c r="ET2013" s="46"/>
      <c r="EU2013" s="46"/>
      <c r="EV2013" s="46"/>
      <c r="EW2013" s="46"/>
      <c r="EX2013" s="46"/>
      <c r="EY2013" s="46"/>
      <c r="EZ2013" s="46"/>
      <c r="FA2013" s="46"/>
      <c r="FB2013" s="46"/>
      <c r="FC2013" s="46"/>
      <c r="FD2013" s="46"/>
      <c r="FE2013" s="46"/>
      <c r="FF2013" s="46"/>
      <c r="FG2013" s="46"/>
      <c r="FH2013" s="46"/>
      <c r="FI2013" s="46"/>
      <c r="FJ2013" s="46"/>
      <c r="FK2013" s="46"/>
      <c r="FL2013" s="46"/>
      <c r="FM2013" s="46"/>
      <c r="FN2013" s="46"/>
      <c r="FO2013" s="46"/>
      <c r="FP2013" s="46"/>
      <c r="FQ2013" s="46"/>
      <c r="FR2013" s="46"/>
      <c r="FS2013" s="46"/>
      <c r="FT2013" s="46"/>
      <c r="FU2013" s="46"/>
      <c r="FV2013" s="46"/>
      <c r="FW2013" s="46"/>
      <c r="FX2013" s="46"/>
      <c r="FY2013" s="46"/>
      <c r="FZ2013" s="46"/>
      <c r="GA2013" s="46"/>
      <c r="GB2013" s="46"/>
      <c r="GC2013" s="46"/>
      <c r="GD2013" s="46"/>
      <c r="GE2013" s="46"/>
      <c r="GF2013" s="46"/>
      <c r="GG2013" s="46"/>
      <c r="GH2013" s="46"/>
      <c r="GI2013" s="46"/>
      <c r="GJ2013" s="46"/>
      <c r="GK2013" s="46"/>
      <c r="GL2013" s="46"/>
      <c r="GM2013" s="46"/>
      <c r="GN2013" s="46"/>
      <c r="GO2013" s="46"/>
      <c r="GP2013" s="46"/>
      <c r="GQ2013" s="46"/>
      <c r="GR2013" s="46"/>
      <c r="GS2013" s="46"/>
      <c r="GT2013" s="46"/>
      <c r="GU2013" s="46"/>
    </row>
    <row r="2014" spans="1:203" s="58" customFormat="1" ht="30" customHeight="1" x14ac:dyDescent="0.4">
      <c r="A2014" s="24">
        <f>A2013+1</f>
        <v>851</v>
      </c>
      <c r="B2014" s="59" t="s">
        <v>77</v>
      </c>
      <c r="C2014" s="70" t="s">
        <v>29</v>
      </c>
      <c r="D2014" s="104">
        <f>1.54+1.36</f>
        <v>2.9000000000000004</v>
      </c>
      <c r="E2014" s="66"/>
      <c r="F2014" s="57"/>
    </row>
    <row r="2015" spans="1:203" s="58" customFormat="1" ht="30" hidden="1" customHeight="1" outlineLevel="1" x14ac:dyDescent="0.4">
      <c r="A2015" s="54"/>
      <c r="B2015" s="48" t="s">
        <v>78</v>
      </c>
      <c r="C2015" s="49" t="s">
        <v>74</v>
      </c>
      <c r="D2015" s="68">
        <f>D2014*0.255</f>
        <v>0.73950000000000016</v>
      </c>
      <c r="E2015" s="69">
        <v>1E-3</v>
      </c>
      <c r="F2015" s="57"/>
    </row>
    <row r="2016" spans="1:203" s="58" customFormat="1" ht="30" customHeight="1" collapsed="1" x14ac:dyDescent="0.4">
      <c r="A2016" s="24">
        <f>A2014+1</f>
        <v>852</v>
      </c>
      <c r="B2016" s="59" t="s">
        <v>79</v>
      </c>
      <c r="C2016" s="70" t="s">
        <v>29</v>
      </c>
      <c r="D2016" s="104">
        <f>1.54+1.36</f>
        <v>2.9000000000000004</v>
      </c>
      <c r="E2016" s="66"/>
      <c r="F2016" s="57"/>
    </row>
    <row r="2017" spans="1:28" s="58" customFormat="1" ht="30" hidden="1" customHeight="1" outlineLevel="1" x14ac:dyDescent="0.4">
      <c r="A2017" s="54"/>
      <c r="B2017" s="48" t="s">
        <v>80</v>
      </c>
      <c r="C2017" s="49" t="s">
        <v>74</v>
      </c>
      <c r="D2017" s="68">
        <f>D2016*0.36*2</f>
        <v>2.0880000000000001</v>
      </c>
      <c r="E2017" s="69">
        <v>2E-3</v>
      </c>
      <c r="F2017" s="57"/>
    </row>
    <row r="2018" spans="1:28" s="58" customFormat="1" ht="30" customHeight="1" collapsed="1" x14ac:dyDescent="0.4">
      <c r="A2018" s="24">
        <f>A2016+1</f>
        <v>853</v>
      </c>
      <c r="B2018" s="59" t="s">
        <v>368</v>
      </c>
      <c r="C2018" s="70" t="s">
        <v>58</v>
      </c>
      <c r="D2018" s="40">
        <v>3</v>
      </c>
      <c r="E2018" s="66"/>
      <c r="F2018" s="57"/>
    </row>
    <row r="2019" spans="1:28" s="58" customFormat="1" ht="30" hidden="1" customHeight="1" outlineLevel="1" x14ac:dyDescent="0.4">
      <c r="A2019" s="54"/>
      <c r="B2019" s="48" t="s">
        <v>556</v>
      </c>
      <c r="C2019" s="49" t="s">
        <v>58</v>
      </c>
      <c r="D2019" s="75">
        <v>3</v>
      </c>
      <c r="E2019" s="51"/>
      <c r="F2019" s="57"/>
    </row>
    <row r="2020" spans="1:28" s="58" customFormat="1" ht="46.3" collapsed="1" x14ac:dyDescent="0.4">
      <c r="A2020" s="24">
        <f>A2018+1</f>
        <v>854</v>
      </c>
      <c r="B2020" s="59" t="s">
        <v>364</v>
      </c>
      <c r="C2020" s="70" t="s">
        <v>19</v>
      </c>
      <c r="D2020" s="67">
        <v>0.17</v>
      </c>
      <c r="E2020" s="66"/>
      <c r="F2020" s="57"/>
    </row>
    <row r="2021" spans="1:28" s="58" customFormat="1" ht="30.9" hidden="1" outlineLevel="1" x14ac:dyDescent="0.4">
      <c r="A2021" s="54"/>
      <c r="B2021" s="48" t="s">
        <v>365</v>
      </c>
      <c r="C2021" s="49" t="s">
        <v>19</v>
      </c>
      <c r="D2021" s="68">
        <v>0.17</v>
      </c>
      <c r="E2021" s="69">
        <v>1E-3</v>
      </c>
      <c r="F2021" s="57"/>
      <c r="J2021" s="58">
        <v>1.08</v>
      </c>
    </row>
    <row r="2022" spans="1:28" s="58" customFormat="1" ht="30" customHeight="1" collapsed="1" x14ac:dyDescent="0.4">
      <c r="A2022" s="24">
        <f>A2020+1</f>
        <v>855</v>
      </c>
      <c r="B2022" s="59" t="s">
        <v>366</v>
      </c>
      <c r="C2022" s="70" t="s">
        <v>29</v>
      </c>
      <c r="D2022" s="67">
        <v>2.58</v>
      </c>
      <c r="E2022" s="66"/>
      <c r="F2022" s="57"/>
    </row>
    <row r="2023" spans="1:28" s="58" customFormat="1" ht="30" hidden="1" customHeight="1" outlineLevel="1" x14ac:dyDescent="0.4">
      <c r="A2023" s="54"/>
      <c r="B2023" s="48" t="s">
        <v>367</v>
      </c>
      <c r="C2023" s="49" t="s">
        <v>29</v>
      </c>
      <c r="D2023" s="68">
        <v>2.58</v>
      </c>
      <c r="E2023" s="69"/>
      <c r="F2023" s="57"/>
      <c r="J2023" s="58">
        <v>1.22</v>
      </c>
    </row>
    <row r="2024" spans="1:28" ht="31" customHeight="1" collapsed="1" x14ac:dyDescent="0.35">
      <c r="A2024" s="24">
        <f>A2022+1</f>
        <v>856</v>
      </c>
      <c r="B2024" s="25" t="s">
        <v>562</v>
      </c>
      <c r="C2024" s="70" t="s">
        <v>561</v>
      </c>
      <c r="D2024" s="26">
        <v>7</v>
      </c>
      <c r="E2024" s="41"/>
      <c r="F2024" s="42"/>
    </row>
    <row r="2025" spans="1:28" ht="31" customHeight="1" x14ac:dyDescent="0.35">
      <c r="A2025" s="24">
        <f>A2024+1</f>
        <v>857</v>
      </c>
      <c r="B2025" s="25" t="s">
        <v>566</v>
      </c>
      <c r="C2025" s="70" t="s">
        <v>561</v>
      </c>
      <c r="D2025" s="26">
        <v>7</v>
      </c>
      <c r="E2025" s="41"/>
      <c r="F2025" s="42"/>
    </row>
    <row r="2026" spans="1:28" ht="31" customHeight="1" x14ac:dyDescent="0.35">
      <c r="A2026" s="24">
        <f>A2025+1</f>
        <v>858</v>
      </c>
      <c r="B2026" s="25" t="s">
        <v>572</v>
      </c>
      <c r="C2026" s="89" t="s">
        <v>570</v>
      </c>
      <c r="D2026" s="26">
        <v>14</v>
      </c>
      <c r="E2026" s="41"/>
      <c r="F2026" s="42"/>
    </row>
    <row r="2027" spans="1:28" s="39" customFormat="1" ht="21" customHeight="1" x14ac:dyDescent="0.35">
      <c r="A2027" s="158" t="s">
        <v>761</v>
      </c>
      <c r="B2027" s="158"/>
      <c r="C2027" s="158"/>
      <c r="D2027" s="158"/>
      <c r="E2027" s="158"/>
      <c r="F2027" s="34"/>
      <c r="G2027" s="35"/>
      <c r="H2027" s="36"/>
      <c r="I2027" s="37"/>
      <c r="J2027" s="37"/>
      <c r="K2027" s="38"/>
      <c r="L2027" s="38"/>
      <c r="M2027" s="38"/>
      <c r="N2027" s="36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</row>
    <row r="2028" spans="1:28" s="58" customFormat="1" ht="30" customHeight="1" x14ac:dyDescent="0.4">
      <c r="A2028" s="72">
        <f>A2026+1</f>
        <v>859</v>
      </c>
      <c r="B2028" s="25" t="s">
        <v>308</v>
      </c>
      <c r="C2028" s="89" t="s">
        <v>19</v>
      </c>
      <c r="D2028" s="105">
        <f>0.7*0.5*49</f>
        <v>17.149999999999999</v>
      </c>
      <c r="E2028" s="91"/>
      <c r="F2028" s="57"/>
    </row>
    <row r="2029" spans="1:28" s="58" customFormat="1" ht="30" customHeight="1" x14ac:dyDescent="0.4">
      <c r="A2029" s="72">
        <f>A2028+1</f>
        <v>860</v>
      </c>
      <c r="B2029" s="25" t="s">
        <v>309</v>
      </c>
      <c r="C2029" s="89" t="s">
        <v>19</v>
      </c>
      <c r="D2029" s="105">
        <f>0.7*0.5*49</f>
        <v>17.149999999999999</v>
      </c>
      <c r="E2029" s="91"/>
      <c r="F2029" s="57"/>
    </row>
    <row r="2030" spans="1:28" s="58" customFormat="1" ht="30" customHeight="1" x14ac:dyDescent="0.4">
      <c r="A2030" s="24">
        <f>A2029+1</f>
        <v>861</v>
      </c>
      <c r="B2030" s="25" t="s">
        <v>310</v>
      </c>
      <c r="C2030" s="89" t="s">
        <v>19</v>
      </c>
      <c r="D2030" s="105">
        <f>0.7*0.5*49</f>
        <v>17.149999999999999</v>
      </c>
      <c r="E2030" s="91"/>
      <c r="F2030" s="57"/>
    </row>
    <row r="2031" spans="1:28" s="58" customFormat="1" ht="30" customHeight="1" x14ac:dyDescent="0.4">
      <c r="A2031" s="24">
        <f>A2030+1</f>
        <v>862</v>
      </c>
      <c r="B2031" s="59" t="s">
        <v>403</v>
      </c>
      <c r="C2031" s="70" t="s">
        <v>132</v>
      </c>
      <c r="D2031" s="40">
        <v>49</v>
      </c>
      <c r="E2031" s="66"/>
      <c r="F2031" s="57"/>
    </row>
    <row r="2032" spans="1:28" s="58" customFormat="1" ht="30" hidden="1" customHeight="1" outlineLevel="1" x14ac:dyDescent="0.4">
      <c r="A2032" s="54"/>
      <c r="B2032" s="48" t="s">
        <v>404</v>
      </c>
      <c r="C2032" s="49" t="s">
        <v>14</v>
      </c>
      <c r="D2032" s="65">
        <f>49*1.26/1000</f>
        <v>6.1740000000000003E-2</v>
      </c>
      <c r="E2032" s="51">
        <v>6.2E-2</v>
      </c>
      <c r="F2032" s="57"/>
    </row>
    <row r="2033" spans="1:28" ht="36" customHeight="1" collapsed="1" x14ac:dyDescent="0.35">
      <c r="A2033" s="24">
        <f>A2031+1</f>
        <v>863</v>
      </c>
      <c r="B2033" s="59" t="s">
        <v>405</v>
      </c>
      <c r="C2033" s="26" t="s">
        <v>58</v>
      </c>
      <c r="D2033" s="82">
        <v>4</v>
      </c>
      <c r="E2033" s="41"/>
      <c r="F2033" s="42"/>
    </row>
    <row r="2034" spans="1:28" s="58" customFormat="1" ht="30" hidden="1" customHeight="1" outlineLevel="1" x14ac:dyDescent="0.4">
      <c r="A2034" s="54"/>
      <c r="B2034" s="48" t="s">
        <v>406</v>
      </c>
      <c r="C2034" s="49" t="s">
        <v>14</v>
      </c>
      <c r="D2034" s="65">
        <f>20*1.58/1000</f>
        <v>3.1600000000000003E-2</v>
      </c>
      <c r="E2034" s="51">
        <v>3.2000000000000001E-2</v>
      </c>
      <c r="F2034" s="57"/>
    </row>
    <row r="2035" spans="1:28" s="58" customFormat="1" ht="30" customHeight="1" collapsed="1" x14ac:dyDescent="0.4">
      <c r="A2035" s="24">
        <f>A2033+1</f>
        <v>864</v>
      </c>
      <c r="B2035" s="71" t="s">
        <v>315</v>
      </c>
      <c r="C2035" s="40" t="s">
        <v>132</v>
      </c>
      <c r="D2035" s="40">
        <v>48</v>
      </c>
      <c r="E2035" s="66"/>
      <c r="F2035" s="57"/>
    </row>
    <row r="2036" spans="1:28" s="58" customFormat="1" ht="30" hidden="1" customHeight="1" outlineLevel="1" x14ac:dyDescent="0.4">
      <c r="A2036" s="87"/>
      <c r="B2036" s="48" t="s">
        <v>314</v>
      </c>
      <c r="C2036" s="75" t="s">
        <v>14</v>
      </c>
      <c r="D2036" s="65">
        <f>48*1.26/1000</f>
        <v>6.0480000000000006E-2</v>
      </c>
      <c r="E2036" s="88">
        <v>0.06</v>
      </c>
      <c r="F2036" s="57"/>
    </row>
    <row r="2037" spans="1:28" ht="36" customHeight="1" collapsed="1" x14ac:dyDescent="0.35">
      <c r="A2037" s="24">
        <f>A2035+1</f>
        <v>865</v>
      </c>
      <c r="B2037" s="59" t="s">
        <v>316</v>
      </c>
      <c r="C2037" s="26" t="s">
        <v>132</v>
      </c>
      <c r="D2037" s="82">
        <v>10</v>
      </c>
      <c r="E2037" s="41"/>
      <c r="F2037" s="42"/>
    </row>
    <row r="2038" spans="1:28" s="58" customFormat="1" ht="30" hidden="1" customHeight="1" outlineLevel="1" x14ac:dyDescent="0.4">
      <c r="A2038" s="54"/>
      <c r="B2038" s="48" t="s">
        <v>407</v>
      </c>
      <c r="C2038" s="49" t="s">
        <v>132</v>
      </c>
      <c r="D2038" s="55">
        <v>10</v>
      </c>
      <c r="E2038" s="51"/>
      <c r="F2038" s="57"/>
    </row>
    <row r="2039" spans="1:28" s="58" customFormat="1" ht="30" hidden="1" customHeight="1" outlineLevel="1" x14ac:dyDescent="0.4">
      <c r="A2039" s="54"/>
      <c r="B2039" s="48" t="s">
        <v>408</v>
      </c>
      <c r="C2039" s="49" t="s">
        <v>58</v>
      </c>
      <c r="D2039" s="55">
        <v>20</v>
      </c>
      <c r="E2039" s="51"/>
      <c r="F2039" s="57"/>
    </row>
    <row r="2040" spans="1:28" s="58" customFormat="1" ht="30" hidden="1" customHeight="1" outlineLevel="1" x14ac:dyDescent="0.4">
      <c r="A2040" s="54"/>
      <c r="B2040" s="48" t="s">
        <v>409</v>
      </c>
      <c r="C2040" s="49" t="s">
        <v>58</v>
      </c>
      <c r="D2040" s="55">
        <v>20</v>
      </c>
      <c r="E2040" s="51"/>
      <c r="F2040" s="57"/>
    </row>
    <row r="2041" spans="1:28" s="58" customFormat="1" ht="30" hidden="1" customHeight="1" outlineLevel="1" x14ac:dyDescent="0.4">
      <c r="A2041" s="54"/>
      <c r="B2041" s="48" t="s">
        <v>410</v>
      </c>
      <c r="C2041" s="49" t="s">
        <v>58</v>
      </c>
      <c r="D2041" s="55">
        <v>20</v>
      </c>
      <c r="E2041" s="51"/>
      <c r="F2041" s="57"/>
    </row>
    <row r="2042" spans="1:28" s="58" customFormat="1" ht="30" hidden="1" customHeight="1" outlineLevel="1" x14ac:dyDescent="0.4">
      <c r="A2042" s="54"/>
      <c r="B2042" s="48" t="s">
        <v>411</v>
      </c>
      <c r="C2042" s="49" t="s">
        <v>58</v>
      </c>
      <c r="D2042" s="55">
        <v>40</v>
      </c>
      <c r="E2042" s="51"/>
      <c r="F2042" s="57"/>
    </row>
    <row r="2043" spans="1:28" s="39" customFormat="1" ht="21" customHeight="1" collapsed="1" x14ac:dyDescent="0.35">
      <c r="A2043" s="158" t="s">
        <v>762</v>
      </c>
      <c r="B2043" s="158"/>
      <c r="C2043" s="158"/>
      <c r="D2043" s="158"/>
      <c r="E2043" s="158"/>
      <c r="F2043" s="34"/>
      <c r="G2043" s="35"/>
      <c r="H2043" s="36"/>
      <c r="I2043" s="37"/>
      <c r="J2043" s="37"/>
      <c r="K2043" s="38"/>
      <c r="L2043" s="38"/>
      <c r="M2043" s="38"/>
      <c r="N2043" s="36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</row>
    <row r="2044" spans="1:28" ht="31" customHeight="1" x14ac:dyDescent="0.35">
      <c r="A2044" s="24">
        <f>A2037+1</f>
        <v>866</v>
      </c>
      <c r="B2044" s="25" t="s">
        <v>652</v>
      </c>
      <c r="C2044" s="89" t="s">
        <v>58</v>
      </c>
      <c r="D2044" s="26">
        <v>2</v>
      </c>
      <c r="E2044" s="41"/>
      <c r="F2044" s="42"/>
    </row>
    <row r="2045" spans="1:28" ht="92.6" hidden="1" outlineLevel="1" x14ac:dyDescent="0.35">
      <c r="A2045" s="47"/>
      <c r="B2045" s="48" t="s">
        <v>653</v>
      </c>
      <c r="C2045" s="49" t="s">
        <v>58</v>
      </c>
      <c r="D2045" s="49">
        <v>1</v>
      </c>
      <c r="E2045" s="78"/>
      <c r="F2045" s="42"/>
    </row>
    <row r="2046" spans="1:28" ht="92.6" hidden="1" outlineLevel="1" x14ac:dyDescent="0.35">
      <c r="A2046" s="47"/>
      <c r="B2046" s="48" t="s">
        <v>654</v>
      </c>
      <c r="C2046" s="49" t="s">
        <v>58</v>
      </c>
      <c r="D2046" s="49">
        <v>1</v>
      </c>
      <c r="E2046" s="78"/>
      <c r="F2046" s="42"/>
    </row>
    <row r="2047" spans="1:28" ht="31" customHeight="1" collapsed="1" x14ac:dyDescent="0.35">
      <c r="A2047" s="24">
        <f>A2044+1</f>
        <v>867</v>
      </c>
      <c r="B2047" s="25" t="s">
        <v>580</v>
      </c>
      <c r="C2047" s="113" t="s">
        <v>58</v>
      </c>
      <c r="D2047" s="114">
        <v>1</v>
      </c>
      <c r="E2047" s="114"/>
      <c r="F2047" s="42"/>
    </row>
    <row r="2048" spans="1:28" ht="123.45" hidden="1" outlineLevel="1" x14ac:dyDescent="0.35">
      <c r="A2048" s="115"/>
      <c r="B2048" s="48" t="s">
        <v>581</v>
      </c>
      <c r="C2048" s="116" t="s">
        <v>58</v>
      </c>
      <c r="D2048" s="116">
        <v>1</v>
      </c>
      <c r="E2048" s="112"/>
      <c r="F2048" s="42"/>
    </row>
    <row r="2049" spans="1:203" ht="31" customHeight="1" collapsed="1" x14ac:dyDescent="0.35">
      <c r="A2049" s="24">
        <f>A2047+1</f>
        <v>868</v>
      </c>
      <c r="B2049" s="25" t="s">
        <v>655</v>
      </c>
      <c r="C2049" s="89" t="s">
        <v>58</v>
      </c>
      <c r="D2049" s="26">
        <v>2</v>
      </c>
      <c r="E2049" s="41"/>
      <c r="F2049" s="42"/>
    </row>
    <row r="2050" spans="1:203" s="45" customFormat="1" ht="30" hidden="1" customHeight="1" outlineLevel="1" x14ac:dyDescent="0.35">
      <c r="A2050" s="47"/>
      <c r="B2050" s="48" t="s">
        <v>656</v>
      </c>
      <c r="C2050" s="49" t="s">
        <v>251</v>
      </c>
      <c r="D2050" s="49">
        <v>2</v>
      </c>
      <c r="E2050" s="78"/>
      <c r="F2050" s="42"/>
      <c r="G2050" s="43"/>
      <c r="H2050" s="44"/>
      <c r="I2050" s="43"/>
      <c r="J2050" s="43"/>
      <c r="N2050" s="44"/>
      <c r="AC2050" s="46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  <c r="BP2050" s="46"/>
      <c r="BQ2050" s="46"/>
      <c r="BR2050" s="46"/>
      <c r="BS2050" s="46"/>
      <c r="BT2050" s="46"/>
      <c r="BU2050" s="46"/>
      <c r="BV2050" s="46"/>
      <c r="BW2050" s="46"/>
      <c r="BX2050" s="46"/>
      <c r="BY2050" s="46"/>
      <c r="BZ2050" s="46"/>
      <c r="CA2050" s="46"/>
      <c r="CB2050" s="46"/>
      <c r="CC2050" s="46"/>
      <c r="CD2050" s="46"/>
      <c r="CE2050" s="46"/>
      <c r="CF2050" s="46"/>
      <c r="CG2050" s="46"/>
      <c r="CH2050" s="46"/>
      <c r="CI2050" s="46"/>
      <c r="CJ2050" s="46"/>
      <c r="CK2050" s="46"/>
      <c r="CL2050" s="46"/>
      <c r="CM2050" s="46"/>
      <c r="CN2050" s="46"/>
      <c r="CO2050" s="46"/>
      <c r="CP2050" s="46"/>
      <c r="CQ2050" s="46"/>
      <c r="CR2050" s="46"/>
      <c r="CS2050" s="46"/>
      <c r="CT2050" s="46"/>
      <c r="CU2050" s="46"/>
      <c r="CV2050" s="46"/>
      <c r="CW2050" s="46"/>
      <c r="CX2050" s="46"/>
      <c r="CY2050" s="46"/>
      <c r="CZ2050" s="46"/>
      <c r="DA2050" s="46"/>
      <c r="DB2050" s="46"/>
      <c r="DC2050" s="46"/>
      <c r="DD2050" s="46"/>
      <c r="DE2050" s="46"/>
      <c r="DF2050" s="46"/>
      <c r="DG2050" s="46"/>
      <c r="DH2050" s="46"/>
      <c r="DI2050" s="46"/>
      <c r="DJ2050" s="46"/>
      <c r="DK2050" s="46"/>
      <c r="DL2050" s="46"/>
      <c r="DM2050" s="46"/>
      <c r="DN2050" s="46"/>
      <c r="DO2050" s="46"/>
      <c r="DP2050" s="46"/>
      <c r="DQ2050" s="46"/>
      <c r="DR2050" s="46"/>
      <c r="DS2050" s="46"/>
      <c r="DT2050" s="46"/>
      <c r="DU2050" s="46"/>
      <c r="DV2050" s="46"/>
      <c r="DW2050" s="46"/>
      <c r="DX2050" s="46"/>
      <c r="DY2050" s="46"/>
      <c r="DZ2050" s="46"/>
      <c r="EA2050" s="46"/>
      <c r="EB2050" s="46"/>
      <c r="EC2050" s="46"/>
      <c r="ED2050" s="46"/>
      <c r="EE2050" s="46"/>
      <c r="EF2050" s="46"/>
      <c r="EG2050" s="46"/>
      <c r="EH2050" s="46"/>
      <c r="EI2050" s="46"/>
      <c r="EJ2050" s="46"/>
      <c r="EK2050" s="46"/>
      <c r="EL2050" s="46"/>
      <c r="EM2050" s="46"/>
      <c r="EN2050" s="46"/>
      <c r="EO2050" s="46"/>
      <c r="EP2050" s="46"/>
      <c r="EQ2050" s="46"/>
      <c r="ER2050" s="46"/>
      <c r="ES2050" s="46"/>
      <c r="ET2050" s="46"/>
      <c r="EU2050" s="46"/>
      <c r="EV2050" s="46"/>
      <c r="EW2050" s="46"/>
      <c r="EX2050" s="46"/>
      <c r="EY2050" s="46"/>
      <c r="EZ2050" s="46"/>
      <c r="FA2050" s="46"/>
      <c r="FB2050" s="46"/>
      <c r="FC2050" s="46"/>
      <c r="FD2050" s="46"/>
      <c r="FE2050" s="46"/>
      <c r="FF2050" s="46"/>
      <c r="FG2050" s="46"/>
      <c r="FH2050" s="46"/>
      <c r="FI2050" s="46"/>
      <c r="FJ2050" s="46"/>
      <c r="FK2050" s="46"/>
      <c r="FL2050" s="46"/>
      <c r="FM2050" s="46"/>
      <c r="FN2050" s="46"/>
      <c r="FO2050" s="46"/>
      <c r="FP2050" s="46"/>
      <c r="FQ2050" s="46"/>
      <c r="FR2050" s="46"/>
      <c r="FS2050" s="46"/>
      <c r="FT2050" s="46"/>
      <c r="FU2050" s="46"/>
      <c r="FV2050" s="46"/>
      <c r="FW2050" s="46"/>
      <c r="FX2050" s="46"/>
      <c r="FY2050" s="46"/>
      <c r="FZ2050" s="46"/>
      <c r="GA2050" s="46"/>
      <c r="GB2050" s="46"/>
      <c r="GC2050" s="46"/>
      <c r="GD2050" s="46"/>
      <c r="GE2050" s="46"/>
      <c r="GF2050" s="46"/>
      <c r="GG2050" s="46"/>
      <c r="GH2050" s="46"/>
      <c r="GI2050" s="46"/>
      <c r="GJ2050" s="46"/>
      <c r="GK2050" s="46"/>
      <c r="GL2050" s="46"/>
      <c r="GM2050" s="46"/>
      <c r="GN2050" s="46"/>
      <c r="GO2050" s="46"/>
      <c r="GP2050" s="46"/>
      <c r="GQ2050" s="46"/>
      <c r="GR2050" s="46"/>
      <c r="GS2050" s="46"/>
      <c r="GT2050" s="46"/>
      <c r="GU2050" s="46"/>
    </row>
    <row r="2051" spans="1:203" s="45" customFormat="1" ht="31" customHeight="1" collapsed="1" x14ac:dyDescent="0.35">
      <c r="A2051" s="24">
        <f>A2049+1</f>
        <v>869</v>
      </c>
      <c r="B2051" s="25" t="s">
        <v>657</v>
      </c>
      <c r="C2051" s="89" t="s">
        <v>58</v>
      </c>
      <c r="D2051" s="26">
        <v>2</v>
      </c>
      <c r="E2051" s="41"/>
      <c r="F2051" s="42"/>
      <c r="G2051" s="43"/>
      <c r="H2051" s="44"/>
      <c r="I2051" s="43"/>
      <c r="J2051" s="43"/>
      <c r="N2051" s="44"/>
      <c r="AC2051" s="46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  <c r="BP2051" s="46"/>
      <c r="BQ2051" s="46"/>
      <c r="BR2051" s="46"/>
      <c r="BS2051" s="46"/>
      <c r="BT2051" s="46"/>
      <c r="BU2051" s="46"/>
      <c r="BV2051" s="46"/>
      <c r="BW2051" s="46"/>
      <c r="BX2051" s="46"/>
      <c r="BY2051" s="46"/>
      <c r="BZ2051" s="46"/>
      <c r="CA2051" s="46"/>
      <c r="CB2051" s="46"/>
      <c r="CC2051" s="46"/>
      <c r="CD2051" s="46"/>
      <c r="CE2051" s="46"/>
      <c r="CF2051" s="46"/>
      <c r="CG2051" s="46"/>
      <c r="CH2051" s="46"/>
      <c r="CI2051" s="46"/>
      <c r="CJ2051" s="46"/>
      <c r="CK2051" s="46"/>
      <c r="CL2051" s="46"/>
      <c r="CM2051" s="46"/>
      <c r="CN2051" s="46"/>
      <c r="CO2051" s="46"/>
      <c r="CP2051" s="46"/>
      <c r="CQ2051" s="46"/>
      <c r="CR2051" s="46"/>
      <c r="CS2051" s="46"/>
      <c r="CT2051" s="46"/>
      <c r="CU2051" s="46"/>
      <c r="CV2051" s="46"/>
      <c r="CW2051" s="46"/>
      <c r="CX2051" s="46"/>
      <c r="CY2051" s="46"/>
      <c r="CZ2051" s="46"/>
      <c r="DA2051" s="46"/>
      <c r="DB2051" s="46"/>
      <c r="DC2051" s="46"/>
      <c r="DD2051" s="46"/>
      <c r="DE2051" s="46"/>
      <c r="DF2051" s="46"/>
      <c r="DG2051" s="46"/>
      <c r="DH2051" s="46"/>
      <c r="DI2051" s="46"/>
      <c r="DJ2051" s="46"/>
      <c r="DK2051" s="46"/>
      <c r="DL2051" s="46"/>
      <c r="DM2051" s="46"/>
      <c r="DN2051" s="46"/>
      <c r="DO2051" s="46"/>
      <c r="DP2051" s="46"/>
      <c r="DQ2051" s="46"/>
      <c r="DR2051" s="46"/>
      <c r="DS2051" s="46"/>
      <c r="DT2051" s="46"/>
      <c r="DU2051" s="46"/>
      <c r="DV2051" s="46"/>
      <c r="DW2051" s="46"/>
      <c r="DX2051" s="46"/>
      <c r="DY2051" s="46"/>
      <c r="DZ2051" s="46"/>
      <c r="EA2051" s="46"/>
      <c r="EB2051" s="46"/>
      <c r="EC2051" s="46"/>
      <c r="ED2051" s="46"/>
      <c r="EE2051" s="46"/>
      <c r="EF2051" s="46"/>
      <c r="EG2051" s="46"/>
      <c r="EH2051" s="46"/>
      <c r="EI2051" s="46"/>
      <c r="EJ2051" s="46"/>
      <c r="EK2051" s="46"/>
      <c r="EL2051" s="46"/>
      <c r="EM2051" s="46"/>
      <c r="EN2051" s="46"/>
      <c r="EO2051" s="46"/>
      <c r="EP2051" s="46"/>
      <c r="EQ2051" s="46"/>
      <c r="ER2051" s="46"/>
      <c r="ES2051" s="46"/>
      <c r="ET2051" s="46"/>
      <c r="EU2051" s="46"/>
      <c r="EV2051" s="46"/>
      <c r="EW2051" s="46"/>
      <c r="EX2051" s="46"/>
      <c r="EY2051" s="46"/>
      <c r="EZ2051" s="46"/>
      <c r="FA2051" s="46"/>
      <c r="FB2051" s="46"/>
      <c r="FC2051" s="46"/>
      <c r="FD2051" s="46"/>
      <c r="FE2051" s="46"/>
      <c r="FF2051" s="46"/>
      <c r="FG2051" s="46"/>
      <c r="FH2051" s="46"/>
      <c r="FI2051" s="46"/>
      <c r="FJ2051" s="46"/>
      <c r="FK2051" s="46"/>
      <c r="FL2051" s="46"/>
      <c r="FM2051" s="46"/>
      <c r="FN2051" s="46"/>
      <c r="FO2051" s="46"/>
      <c r="FP2051" s="46"/>
      <c r="FQ2051" s="46"/>
      <c r="FR2051" s="46"/>
      <c r="FS2051" s="46"/>
      <c r="FT2051" s="46"/>
      <c r="FU2051" s="46"/>
      <c r="FV2051" s="46"/>
      <c r="FW2051" s="46"/>
      <c r="FX2051" s="46"/>
      <c r="FY2051" s="46"/>
      <c r="FZ2051" s="46"/>
      <c r="GA2051" s="46"/>
      <c r="GB2051" s="46"/>
      <c r="GC2051" s="46"/>
      <c r="GD2051" s="46"/>
      <c r="GE2051" s="46"/>
      <c r="GF2051" s="46"/>
      <c r="GG2051" s="46"/>
      <c r="GH2051" s="46"/>
      <c r="GI2051" s="46"/>
      <c r="GJ2051" s="46"/>
      <c r="GK2051" s="46"/>
      <c r="GL2051" s="46"/>
      <c r="GM2051" s="46"/>
      <c r="GN2051" s="46"/>
      <c r="GO2051" s="46"/>
      <c r="GP2051" s="46"/>
      <c r="GQ2051" s="46"/>
      <c r="GR2051" s="46"/>
      <c r="GS2051" s="46"/>
      <c r="GT2051" s="46"/>
      <c r="GU2051" s="46"/>
    </row>
    <row r="2052" spans="1:203" s="45" customFormat="1" ht="61.75" hidden="1" outlineLevel="1" x14ac:dyDescent="0.35">
      <c r="A2052" s="47"/>
      <c r="B2052" s="48" t="s">
        <v>799</v>
      </c>
      <c r="C2052" s="49" t="s">
        <v>58</v>
      </c>
      <c r="D2052" s="49">
        <v>1</v>
      </c>
      <c r="E2052" s="78"/>
      <c r="F2052" s="42"/>
      <c r="G2052" s="43"/>
      <c r="H2052" s="44"/>
      <c r="I2052" s="43"/>
      <c r="J2052" s="43"/>
      <c r="N2052" s="44"/>
      <c r="AC2052" s="46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  <c r="BP2052" s="46"/>
      <c r="BQ2052" s="46"/>
      <c r="BR2052" s="46"/>
      <c r="BS2052" s="46"/>
      <c r="BT2052" s="46"/>
      <c r="BU2052" s="46"/>
      <c r="BV2052" s="46"/>
      <c r="BW2052" s="46"/>
      <c r="BX2052" s="46"/>
      <c r="BY2052" s="46"/>
      <c r="BZ2052" s="46"/>
      <c r="CA2052" s="46"/>
      <c r="CB2052" s="46"/>
      <c r="CC2052" s="46"/>
      <c r="CD2052" s="46"/>
      <c r="CE2052" s="46"/>
      <c r="CF2052" s="46"/>
      <c r="CG2052" s="46"/>
      <c r="CH2052" s="46"/>
      <c r="CI2052" s="46"/>
      <c r="CJ2052" s="46"/>
      <c r="CK2052" s="46"/>
      <c r="CL2052" s="46"/>
      <c r="CM2052" s="46"/>
      <c r="CN2052" s="46"/>
      <c r="CO2052" s="46"/>
      <c r="CP2052" s="46"/>
      <c r="CQ2052" s="46"/>
      <c r="CR2052" s="46"/>
      <c r="CS2052" s="46"/>
      <c r="CT2052" s="46"/>
      <c r="CU2052" s="46"/>
      <c r="CV2052" s="46"/>
      <c r="CW2052" s="46"/>
      <c r="CX2052" s="46"/>
      <c r="CY2052" s="46"/>
      <c r="CZ2052" s="46"/>
      <c r="DA2052" s="46"/>
      <c r="DB2052" s="46"/>
      <c r="DC2052" s="46"/>
      <c r="DD2052" s="46"/>
      <c r="DE2052" s="46"/>
      <c r="DF2052" s="46"/>
      <c r="DG2052" s="46"/>
      <c r="DH2052" s="46"/>
      <c r="DI2052" s="46"/>
      <c r="DJ2052" s="46"/>
      <c r="DK2052" s="46"/>
      <c r="DL2052" s="46"/>
      <c r="DM2052" s="46"/>
      <c r="DN2052" s="46"/>
      <c r="DO2052" s="46"/>
      <c r="DP2052" s="46"/>
      <c r="DQ2052" s="46"/>
      <c r="DR2052" s="46"/>
      <c r="DS2052" s="46"/>
      <c r="DT2052" s="46"/>
      <c r="DU2052" s="46"/>
      <c r="DV2052" s="46"/>
      <c r="DW2052" s="46"/>
      <c r="DX2052" s="46"/>
      <c r="DY2052" s="46"/>
      <c r="DZ2052" s="46"/>
      <c r="EA2052" s="46"/>
      <c r="EB2052" s="46"/>
      <c r="EC2052" s="46"/>
      <c r="ED2052" s="46"/>
      <c r="EE2052" s="46"/>
      <c r="EF2052" s="46"/>
      <c r="EG2052" s="46"/>
      <c r="EH2052" s="46"/>
      <c r="EI2052" s="46"/>
      <c r="EJ2052" s="46"/>
      <c r="EK2052" s="46"/>
      <c r="EL2052" s="46"/>
      <c r="EM2052" s="46"/>
      <c r="EN2052" s="46"/>
      <c r="EO2052" s="46"/>
      <c r="EP2052" s="46"/>
      <c r="EQ2052" s="46"/>
      <c r="ER2052" s="46"/>
      <c r="ES2052" s="46"/>
      <c r="ET2052" s="46"/>
      <c r="EU2052" s="46"/>
      <c r="EV2052" s="46"/>
      <c r="EW2052" s="46"/>
      <c r="EX2052" s="46"/>
      <c r="EY2052" s="46"/>
      <c r="EZ2052" s="46"/>
      <c r="FA2052" s="46"/>
      <c r="FB2052" s="46"/>
      <c r="FC2052" s="46"/>
      <c r="FD2052" s="46"/>
      <c r="FE2052" s="46"/>
      <c r="FF2052" s="46"/>
      <c r="FG2052" s="46"/>
      <c r="FH2052" s="46"/>
      <c r="FI2052" s="46"/>
      <c r="FJ2052" s="46"/>
      <c r="FK2052" s="46"/>
      <c r="FL2052" s="46"/>
      <c r="FM2052" s="46"/>
      <c r="FN2052" s="46"/>
      <c r="FO2052" s="46"/>
      <c r="FP2052" s="46"/>
      <c r="FQ2052" s="46"/>
      <c r="FR2052" s="46"/>
      <c r="FS2052" s="46"/>
      <c r="FT2052" s="46"/>
      <c r="FU2052" s="46"/>
      <c r="FV2052" s="46"/>
      <c r="FW2052" s="46"/>
      <c r="FX2052" s="46"/>
      <c r="FY2052" s="46"/>
      <c r="FZ2052" s="46"/>
      <c r="GA2052" s="46"/>
      <c r="GB2052" s="46"/>
      <c r="GC2052" s="46"/>
      <c r="GD2052" s="46"/>
      <c r="GE2052" s="46"/>
      <c r="GF2052" s="46"/>
      <c r="GG2052" s="46"/>
      <c r="GH2052" s="46"/>
      <c r="GI2052" s="46"/>
      <c r="GJ2052" s="46"/>
      <c r="GK2052" s="46"/>
      <c r="GL2052" s="46"/>
      <c r="GM2052" s="46"/>
      <c r="GN2052" s="46"/>
      <c r="GO2052" s="46"/>
      <c r="GP2052" s="46"/>
      <c r="GQ2052" s="46"/>
      <c r="GR2052" s="46"/>
      <c r="GS2052" s="46"/>
      <c r="GT2052" s="46"/>
      <c r="GU2052" s="46"/>
    </row>
    <row r="2053" spans="1:203" s="45" customFormat="1" ht="61.75" hidden="1" outlineLevel="1" x14ac:dyDescent="0.35">
      <c r="A2053" s="47"/>
      <c r="B2053" s="48" t="s">
        <v>800</v>
      </c>
      <c r="C2053" s="49" t="s">
        <v>58</v>
      </c>
      <c r="D2053" s="49">
        <v>1</v>
      </c>
      <c r="E2053" s="78"/>
      <c r="F2053" s="42"/>
      <c r="G2053" s="43"/>
      <c r="H2053" s="44"/>
      <c r="I2053" s="43"/>
      <c r="J2053" s="43"/>
      <c r="N2053" s="44"/>
      <c r="AC2053" s="46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  <c r="BP2053" s="46"/>
      <c r="BQ2053" s="46"/>
      <c r="BR2053" s="46"/>
      <c r="BS2053" s="46"/>
      <c r="BT2053" s="46"/>
      <c r="BU2053" s="46"/>
      <c r="BV2053" s="46"/>
      <c r="BW2053" s="46"/>
      <c r="BX2053" s="46"/>
      <c r="BY2053" s="46"/>
      <c r="BZ2053" s="46"/>
      <c r="CA2053" s="46"/>
      <c r="CB2053" s="46"/>
      <c r="CC2053" s="46"/>
      <c r="CD2053" s="46"/>
      <c r="CE2053" s="46"/>
      <c r="CF2053" s="46"/>
      <c r="CG2053" s="46"/>
      <c r="CH2053" s="46"/>
      <c r="CI2053" s="46"/>
      <c r="CJ2053" s="46"/>
      <c r="CK2053" s="46"/>
      <c r="CL2053" s="46"/>
      <c r="CM2053" s="46"/>
      <c r="CN2053" s="46"/>
      <c r="CO2053" s="46"/>
      <c r="CP2053" s="46"/>
      <c r="CQ2053" s="46"/>
      <c r="CR2053" s="46"/>
      <c r="CS2053" s="46"/>
      <c r="CT2053" s="46"/>
      <c r="CU2053" s="46"/>
      <c r="CV2053" s="46"/>
      <c r="CW2053" s="46"/>
      <c r="CX2053" s="46"/>
      <c r="CY2053" s="46"/>
      <c r="CZ2053" s="46"/>
      <c r="DA2053" s="46"/>
      <c r="DB2053" s="46"/>
      <c r="DC2053" s="46"/>
      <c r="DD2053" s="46"/>
      <c r="DE2053" s="46"/>
      <c r="DF2053" s="46"/>
      <c r="DG2053" s="46"/>
      <c r="DH2053" s="46"/>
      <c r="DI2053" s="46"/>
      <c r="DJ2053" s="46"/>
      <c r="DK2053" s="46"/>
      <c r="DL2053" s="46"/>
      <c r="DM2053" s="46"/>
      <c r="DN2053" s="46"/>
      <c r="DO2053" s="46"/>
      <c r="DP2053" s="46"/>
      <c r="DQ2053" s="46"/>
      <c r="DR2053" s="46"/>
      <c r="DS2053" s="46"/>
      <c r="DT2053" s="46"/>
      <c r="DU2053" s="46"/>
      <c r="DV2053" s="46"/>
      <c r="DW2053" s="46"/>
      <c r="DX2053" s="46"/>
      <c r="DY2053" s="46"/>
      <c r="DZ2053" s="46"/>
      <c r="EA2053" s="46"/>
      <c r="EB2053" s="46"/>
      <c r="EC2053" s="46"/>
      <c r="ED2053" s="46"/>
      <c r="EE2053" s="46"/>
      <c r="EF2053" s="46"/>
      <c r="EG2053" s="46"/>
      <c r="EH2053" s="46"/>
      <c r="EI2053" s="46"/>
      <c r="EJ2053" s="46"/>
      <c r="EK2053" s="46"/>
      <c r="EL2053" s="46"/>
      <c r="EM2053" s="46"/>
      <c r="EN2053" s="46"/>
      <c r="EO2053" s="46"/>
      <c r="EP2053" s="46"/>
      <c r="EQ2053" s="46"/>
      <c r="ER2053" s="46"/>
      <c r="ES2053" s="46"/>
      <c r="ET2053" s="46"/>
      <c r="EU2053" s="46"/>
      <c r="EV2053" s="46"/>
      <c r="EW2053" s="46"/>
      <c r="EX2053" s="46"/>
      <c r="EY2053" s="46"/>
      <c r="EZ2053" s="46"/>
      <c r="FA2053" s="46"/>
      <c r="FB2053" s="46"/>
      <c r="FC2053" s="46"/>
      <c r="FD2053" s="46"/>
      <c r="FE2053" s="46"/>
      <c r="FF2053" s="46"/>
      <c r="FG2053" s="46"/>
      <c r="FH2053" s="46"/>
      <c r="FI2053" s="46"/>
      <c r="FJ2053" s="46"/>
      <c r="FK2053" s="46"/>
      <c r="FL2053" s="46"/>
      <c r="FM2053" s="46"/>
      <c r="FN2053" s="46"/>
      <c r="FO2053" s="46"/>
      <c r="FP2053" s="46"/>
      <c r="FQ2053" s="46"/>
      <c r="FR2053" s="46"/>
      <c r="FS2053" s="46"/>
      <c r="FT2053" s="46"/>
      <c r="FU2053" s="46"/>
      <c r="FV2053" s="46"/>
      <c r="FW2053" s="46"/>
      <c r="FX2053" s="46"/>
      <c r="FY2053" s="46"/>
      <c r="FZ2053" s="46"/>
      <c r="GA2053" s="46"/>
      <c r="GB2053" s="46"/>
      <c r="GC2053" s="46"/>
      <c r="GD2053" s="46"/>
      <c r="GE2053" s="46"/>
      <c r="GF2053" s="46"/>
      <c r="GG2053" s="46"/>
      <c r="GH2053" s="46"/>
      <c r="GI2053" s="46"/>
      <c r="GJ2053" s="46"/>
      <c r="GK2053" s="46"/>
      <c r="GL2053" s="46"/>
      <c r="GM2053" s="46"/>
      <c r="GN2053" s="46"/>
      <c r="GO2053" s="46"/>
      <c r="GP2053" s="46"/>
      <c r="GQ2053" s="46"/>
      <c r="GR2053" s="46"/>
      <c r="GS2053" s="46"/>
      <c r="GT2053" s="46"/>
      <c r="GU2053" s="46"/>
    </row>
    <row r="2054" spans="1:203" s="45" customFormat="1" ht="31" customHeight="1" collapsed="1" x14ac:dyDescent="0.35">
      <c r="A2054" s="24">
        <f>A2051+1</f>
        <v>870</v>
      </c>
      <c r="B2054" s="25" t="s">
        <v>577</v>
      </c>
      <c r="C2054" s="89" t="s">
        <v>578</v>
      </c>
      <c r="D2054" s="26">
        <v>1</v>
      </c>
      <c r="E2054" s="41"/>
      <c r="F2054" s="42"/>
      <c r="G2054" s="43"/>
      <c r="H2054" s="44"/>
      <c r="I2054" s="43"/>
      <c r="J2054" s="43"/>
      <c r="N2054" s="44"/>
      <c r="AC2054" s="46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  <c r="BP2054" s="46"/>
      <c r="BQ2054" s="46"/>
      <c r="BR2054" s="46"/>
      <c r="BS2054" s="46"/>
      <c r="BT2054" s="46"/>
      <c r="BU2054" s="46"/>
      <c r="BV2054" s="46"/>
      <c r="BW2054" s="46"/>
      <c r="BX2054" s="46"/>
      <c r="BY2054" s="46"/>
      <c r="BZ2054" s="46"/>
      <c r="CA2054" s="46"/>
      <c r="CB2054" s="46"/>
      <c r="CC2054" s="46"/>
      <c r="CD2054" s="46"/>
      <c r="CE2054" s="46"/>
      <c r="CF2054" s="46"/>
      <c r="CG2054" s="46"/>
      <c r="CH2054" s="46"/>
      <c r="CI2054" s="46"/>
      <c r="CJ2054" s="46"/>
      <c r="CK2054" s="46"/>
      <c r="CL2054" s="46"/>
      <c r="CM2054" s="46"/>
      <c r="CN2054" s="46"/>
      <c r="CO2054" s="46"/>
      <c r="CP2054" s="46"/>
      <c r="CQ2054" s="46"/>
      <c r="CR2054" s="46"/>
      <c r="CS2054" s="46"/>
      <c r="CT2054" s="46"/>
      <c r="CU2054" s="46"/>
      <c r="CV2054" s="46"/>
      <c r="CW2054" s="46"/>
      <c r="CX2054" s="46"/>
      <c r="CY2054" s="46"/>
      <c r="CZ2054" s="46"/>
      <c r="DA2054" s="46"/>
      <c r="DB2054" s="46"/>
      <c r="DC2054" s="46"/>
      <c r="DD2054" s="46"/>
      <c r="DE2054" s="46"/>
      <c r="DF2054" s="46"/>
      <c r="DG2054" s="46"/>
      <c r="DH2054" s="46"/>
      <c r="DI2054" s="46"/>
      <c r="DJ2054" s="46"/>
      <c r="DK2054" s="46"/>
      <c r="DL2054" s="46"/>
      <c r="DM2054" s="46"/>
      <c r="DN2054" s="46"/>
      <c r="DO2054" s="46"/>
      <c r="DP2054" s="46"/>
      <c r="DQ2054" s="46"/>
      <c r="DR2054" s="46"/>
      <c r="DS2054" s="46"/>
      <c r="DT2054" s="46"/>
      <c r="DU2054" s="46"/>
      <c r="DV2054" s="46"/>
      <c r="DW2054" s="46"/>
      <c r="DX2054" s="46"/>
      <c r="DY2054" s="46"/>
      <c r="DZ2054" s="46"/>
      <c r="EA2054" s="46"/>
      <c r="EB2054" s="46"/>
      <c r="EC2054" s="46"/>
      <c r="ED2054" s="46"/>
      <c r="EE2054" s="46"/>
      <c r="EF2054" s="46"/>
      <c r="EG2054" s="46"/>
      <c r="EH2054" s="46"/>
      <c r="EI2054" s="46"/>
      <c r="EJ2054" s="46"/>
      <c r="EK2054" s="46"/>
      <c r="EL2054" s="46"/>
      <c r="EM2054" s="46"/>
      <c r="EN2054" s="46"/>
      <c r="EO2054" s="46"/>
      <c r="EP2054" s="46"/>
      <c r="EQ2054" s="46"/>
      <c r="ER2054" s="46"/>
      <c r="ES2054" s="46"/>
      <c r="ET2054" s="46"/>
      <c r="EU2054" s="46"/>
      <c r="EV2054" s="46"/>
      <c r="EW2054" s="46"/>
      <c r="EX2054" s="46"/>
      <c r="EY2054" s="46"/>
      <c r="EZ2054" s="46"/>
      <c r="FA2054" s="46"/>
      <c r="FB2054" s="46"/>
      <c r="FC2054" s="46"/>
      <c r="FD2054" s="46"/>
      <c r="FE2054" s="46"/>
      <c r="FF2054" s="46"/>
      <c r="FG2054" s="46"/>
      <c r="FH2054" s="46"/>
      <c r="FI2054" s="46"/>
      <c r="FJ2054" s="46"/>
      <c r="FK2054" s="46"/>
      <c r="FL2054" s="46"/>
      <c r="FM2054" s="46"/>
      <c r="FN2054" s="46"/>
      <c r="FO2054" s="46"/>
      <c r="FP2054" s="46"/>
      <c r="FQ2054" s="46"/>
      <c r="FR2054" s="46"/>
      <c r="FS2054" s="46"/>
      <c r="FT2054" s="46"/>
      <c r="FU2054" s="46"/>
      <c r="FV2054" s="46"/>
      <c r="FW2054" s="46"/>
      <c r="FX2054" s="46"/>
      <c r="FY2054" s="46"/>
      <c r="FZ2054" s="46"/>
      <c r="GA2054" s="46"/>
      <c r="GB2054" s="46"/>
      <c r="GC2054" s="46"/>
      <c r="GD2054" s="46"/>
      <c r="GE2054" s="46"/>
      <c r="GF2054" s="46"/>
      <c r="GG2054" s="46"/>
      <c r="GH2054" s="46"/>
      <c r="GI2054" s="46"/>
      <c r="GJ2054" s="46"/>
      <c r="GK2054" s="46"/>
      <c r="GL2054" s="46"/>
      <c r="GM2054" s="46"/>
      <c r="GN2054" s="46"/>
      <c r="GO2054" s="46"/>
      <c r="GP2054" s="46"/>
      <c r="GQ2054" s="46"/>
      <c r="GR2054" s="46"/>
      <c r="GS2054" s="46"/>
      <c r="GT2054" s="46"/>
      <c r="GU2054" s="46"/>
    </row>
    <row r="2055" spans="1:203" s="45" customFormat="1" ht="30.9" hidden="1" outlineLevel="1" x14ac:dyDescent="0.35">
      <c r="A2055" s="47"/>
      <c r="B2055" s="48" t="s">
        <v>579</v>
      </c>
      <c r="C2055" s="49" t="s">
        <v>58</v>
      </c>
      <c r="D2055" s="49">
        <v>1</v>
      </c>
      <c r="E2055" s="78"/>
      <c r="F2055" s="42"/>
      <c r="G2055" s="43"/>
      <c r="H2055" s="44"/>
      <c r="I2055" s="43"/>
      <c r="J2055" s="43"/>
      <c r="N2055" s="44"/>
      <c r="AC2055" s="46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  <c r="BP2055" s="46"/>
      <c r="BQ2055" s="46"/>
      <c r="BR2055" s="46"/>
      <c r="BS2055" s="46"/>
      <c r="BT2055" s="46"/>
      <c r="BU2055" s="46"/>
      <c r="BV2055" s="46"/>
      <c r="BW2055" s="46"/>
      <c r="BX2055" s="46"/>
      <c r="BY2055" s="46"/>
      <c r="BZ2055" s="46"/>
      <c r="CA2055" s="46"/>
      <c r="CB2055" s="46"/>
      <c r="CC2055" s="46"/>
      <c r="CD2055" s="46"/>
      <c r="CE2055" s="46"/>
      <c r="CF2055" s="46"/>
      <c r="CG2055" s="46"/>
      <c r="CH2055" s="46"/>
      <c r="CI2055" s="46"/>
      <c r="CJ2055" s="46"/>
      <c r="CK2055" s="46"/>
      <c r="CL2055" s="46"/>
      <c r="CM2055" s="46"/>
      <c r="CN2055" s="46"/>
      <c r="CO2055" s="46"/>
      <c r="CP2055" s="46"/>
      <c r="CQ2055" s="46"/>
      <c r="CR2055" s="46"/>
      <c r="CS2055" s="46"/>
      <c r="CT2055" s="46"/>
      <c r="CU2055" s="46"/>
      <c r="CV2055" s="46"/>
      <c r="CW2055" s="46"/>
      <c r="CX2055" s="46"/>
      <c r="CY2055" s="46"/>
      <c r="CZ2055" s="46"/>
      <c r="DA2055" s="46"/>
      <c r="DB2055" s="46"/>
      <c r="DC2055" s="46"/>
      <c r="DD2055" s="46"/>
      <c r="DE2055" s="46"/>
      <c r="DF2055" s="46"/>
      <c r="DG2055" s="46"/>
      <c r="DH2055" s="46"/>
      <c r="DI2055" s="46"/>
      <c r="DJ2055" s="46"/>
      <c r="DK2055" s="46"/>
      <c r="DL2055" s="46"/>
      <c r="DM2055" s="46"/>
      <c r="DN2055" s="46"/>
      <c r="DO2055" s="46"/>
      <c r="DP2055" s="46"/>
      <c r="DQ2055" s="46"/>
      <c r="DR2055" s="46"/>
      <c r="DS2055" s="46"/>
      <c r="DT2055" s="46"/>
      <c r="DU2055" s="46"/>
      <c r="DV2055" s="46"/>
      <c r="DW2055" s="46"/>
      <c r="DX2055" s="46"/>
      <c r="DY2055" s="46"/>
      <c r="DZ2055" s="46"/>
      <c r="EA2055" s="46"/>
      <c r="EB2055" s="46"/>
      <c r="EC2055" s="46"/>
      <c r="ED2055" s="46"/>
      <c r="EE2055" s="46"/>
      <c r="EF2055" s="46"/>
      <c r="EG2055" s="46"/>
      <c r="EH2055" s="46"/>
      <c r="EI2055" s="46"/>
      <c r="EJ2055" s="46"/>
      <c r="EK2055" s="46"/>
      <c r="EL2055" s="46"/>
      <c r="EM2055" s="46"/>
      <c r="EN2055" s="46"/>
      <c r="EO2055" s="46"/>
      <c r="EP2055" s="46"/>
      <c r="EQ2055" s="46"/>
      <c r="ER2055" s="46"/>
      <c r="ES2055" s="46"/>
      <c r="ET2055" s="46"/>
      <c r="EU2055" s="46"/>
      <c r="EV2055" s="46"/>
      <c r="EW2055" s="46"/>
      <c r="EX2055" s="46"/>
      <c r="EY2055" s="46"/>
      <c r="EZ2055" s="46"/>
      <c r="FA2055" s="46"/>
      <c r="FB2055" s="46"/>
      <c r="FC2055" s="46"/>
      <c r="FD2055" s="46"/>
      <c r="FE2055" s="46"/>
      <c r="FF2055" s="46"/>
      <c r="FG2055" s="46"/>
      <c r="FH2055" s="46"/>
      <c r="FI2055" s="46"/>
      <c r="FJ2055" s="46"/>
      <c r="FK2055" s="46"/>
      <c r="FL2055" s="46"/>
      <c r="FM2055" s="46"/>
      <c r="FN2055" s="46"/>
      <c r="FO2055" s="46"/>
      <c r="FP2055" s="46"/>
      <c r="FQ2055" s="46"/>
      <c r="FR2055" s="46"/>
      <c r="FS2055" s="46"/>
      <c r="FT2055" s="46"/>
      <c r="FU2055" s="46"/>
      <c r="FV2055" s="46"/>
      <c r="FW2055" s="46"/>
      <c r="FX2055" s="46"/>
      <c r="FY2055" s="46"/>
      <c r="FZ2055" s="46"/>
      <c r="GA2055" s="46"/>
      <c r="GB2055" s="46"/>
      <c r="GC2055" s="46"/>
      <c r="GD2055" s="46"/>
      <c r="GE2055" s="46"/>
      <c r="GF2055" s="46"/>
      <c r="GG2055" s="46"/>
      <c r="GH2055" s="46"/>
      <c r="GI2055" s="46"/>
      <c r="GJ2055" s="46"/>
      <c r="GK2055" s="46"/>
      <c r="GL2055" s="46"/>
      <c r="GM2055" s="46"/>
      <c r="GN2055" s="46"/>
      <c r="GO2055" s="46"/>
      <c r="GP2055" s="46"/>
      <c r="GQ2055" s="46"/>
      <c r="GR2055" s="46"/>
      <c r="GS2055" s="46"/>
      <c r="GT2055" s="46"/>
      <c r="GU2055" s="46"/>
    </row>
    <row r="2056" spans="1:203" s="58" customFormat="1" ht="30" customHeight="1" collapsed="1" x14ac:dyDescent="0.4">
      <c r="A2056" s="24">
        <f>A2054+1</f>
        <v>871</v>
      </c>
      <c r="B2056" s="25" t="s">
        <v>431</v>
      </c>
      <c r="C2056" s="89" t="s">
        <v>132</v>
      </c>
      <c r="D2056" s="117">
        <v>284</v>
      </c>
      <c r="E2056" s="91"/>
      <c r="F2056" s="57"/>
    </row>
    <row r="2057" spans="1:203" s="58" customFormat="1" ht="30" hidden="1" customHeight="1" outlineLevel="1" x14ac:dyDescent="0.4">
      <c r="A2057" s="87"/>
      <c r="B2057" s="48" t="s">
        <v>454</v>
      </c>
      <c r="C2057" s="75" t="s">
        <v>132</v>
      </c>
      <c r="D2057" s="111">
        <v>114</v>
      </c>
      <c r="E2057" s="88">
        <v>2.4E-2</v>
      </c>
      <c r="F2057" s="57"/>
    </row>
    <row r="2058" spans="1:203" s="58" customFormat="1" ht="30" hidden="1" customHeight="1" outlineLevel="1" x14ac:dyDescent="0.4">
      <c r="A2058" s="87"/>
      <c r="B2058" s="48" t="s">
        <v>780</v>
      </c>
      <c r="C2058" s="75" t="s">
        <v>132</v>
      </c>
      <c r="D2058" s="111">
        <v>170</v>
      </c>
      <c r="E2058" s="88">
        <v>0.03</v>
      </c>
      <c r="F2058" s="57"/>
    </row>
    <row r="2059" spans="1:203" s="58" customFormat="1" ht="30" hidden="1" customHeight="1" outlineLevel="1" x14ac:dyDescent="0.4">
      <c r="A2059" s="87"/>
      <c r="B2059" s="48" t="s">
        <v>441</v>
      </c>
      <c r="C2059" s="75" t="s">
        <v>58</v>
      </c>
      <c r="D2059" s="111">
        <v>20</v>
      </c>
      <c r="E2059" s="88"/>
      <c r="F2059" s="57"/>
    </row>
    <row r="2060" spans="1:203" s="58" customFormat="1" ht="30" customHeight="1" collapsed="1" x14ac:dyDescent="0.4">
      <c r="A2060" s="24">
        <f>A2056+1</f>
        <v>872</v>
      </c>
      <c r="B2060" s="25" t="s">
        <v>316</v>
      </c>
      <c r="C2060" s="89" t="s">
        <v>132</v>
      </c>
      <c r="D2060" s="96">
        <v>10</v>
      </c>
      <c r="E2060" s="98"/>
      <c r="F2060" s="57"/>
      <c r="O2060" s="58" t="s">
        <v>442</v>
      </c>
    </row>
    <row r="2061" spans="1:203" s="58" customFormat="1" ht="30" hidden="1" customHeight="1" outlineLevel="1" x14ac:dyDescent="0.4">
      <c r="A2061" s="87"/>
      <c r="B2061" s="48" t="s">
        <v>317</v>
      </c>
      <c r="C2061" s="75" t="s">
        <v>132</v>
      </c>
      <c r="D2061" s="74">
        <v>10</v>
      </c>
      <c r="E2061" s="93"/>
      <c r="F2061" s="57"/>
    </row>
    <row r="2062" spans="1:203" s="58" customFormat="1" ht="30" customHeight="1" collapsed="1" x14ac:dyDescent="0.4">
      <c r="A2062" s="24">
        <f>A2060+1</f>
        <v>873</v>
      </c>
      <c r="B2062" s="25" t="s">
        <v>340</v>
      </c>
      <c r="C2062" s="89" t="s">
        <v>132</v>
      </c>
      <c r="D2062" s="90">
        <v>70</v>
      </c>
      <c r="E2062" s="99"/>
      <c r="F2062" s="57"/>
    </row>
    <row r="2063" spans="1:203" s="58" customFormat="1" ht="30" hidden="1" customHeight="1" outlineLevel="1" x14ac:dyDescent="0.4">
      <c r="A2063" s="87"/>
      <c r="B2063" s="48" t="s">
        <v>341</v>
      </c>
      <c r="C2063" s="75" t="s">
        <v>14</v>
      </c>
      <c r="D2063" s="77">
        <f>70*1.66/1000*1.1</f>
        <v>0.12781999999999999</v>
      </c>
      <c r="E2063" s="88">
        <v>0.128</v>
      </c>
      <c r="F2063" s="57"/>
    </row>
    <row r="2064" spans="1:203" s="58" customFormat="1" ht="30" customHeight="1" collapsed="1" x14ac:dyDescent="0.4">
      <c r="A2064" s="24">
        <f>A2062+1</f>
        <v>874</v>
      </c>
      <c r="B2064" s="25" t="s">
        <v>284</v>
      </c>
      <c r="C2064" s="89" t="s">
        <v>132</v>
      </c>
      <c r="D2064" s="90">
        <v>21</v>
      </c>
      <c r="E2064" s="91"/>
      <c r="F2064" s="57"/>
    </row>
    <row r="2065" spans="1:28" s="58" customFormat="1" ht="30" hidden="1" customHeight="1" outlineLevel="1" x14ac:dyDescent="0.4">
      <c r="A2065" s="87"/>
      <c r="B2065" s="48" t="s">
        <v>342</v>
      </c>
      <c r="C2065" s="75" t="s">
        <v>132</v>
      </c>
      <c r="D2065" s="74">
        <v>18</v>
      </c>
      <c r="E2065" s="88"/>
      <c r="F2065" s="57"/>
    </row>
    <row r="2066" spans="1:28" s="58" customFormat="1" ht="30" hidden="1" customHeight="1" outlineLevel="1" x14ac:dyDescent="0.4">
      <c r="A2066" s="87"/>
      <c r="B2066" s="48" t="s">
        <v>285</v>
      </c>
      <c r="C2066" s="75" t="s">
        <v>132</v>
      </c>
      <c r="D2066" s="74">
        <v>3</v>
      </c>
      <c r="E2066" s="88"/>
      <c r="F2066" s="57"/>
    </row>
    <row r="2067" spans="1:28" s="58" customFormat="1" ht="30" hidden="1" customHeight="1" outlineLevel="1" x14ac:dyDescent="0.4">
      <c r="A2067" s="87"/>
      <c r="B2067" s="48" t="s">
        <v>343</v>
      </c>
      <c r="C2067" s="112" t="s">
        <v>58</v>
      </c>
      <c r="D2067" s="111">
        <v>14</v>
      </c>
      <c r="E2067" s="88"/>
      <c r="F2067" s="57"/>
    </row>
    <row r="2068" spans="1:28" s="58" customFormat="1" ht="30" hidden="1" customHeight="1" outlineLevel="1" x14ac:dyDescent="0.4">
      <c r="A2068" s="87"/>
      <c r="B2068" s="48" t="s">
        <v>348</v>
      </c>
      <c r="C2068" s="75" t="s">
        <v>349</v>
      </c>
      <c r="D2068" s="74">
        <v>1</v>
      </c>
      <c r="E2068" s="88"/>
      <c r="F2068" s="57"/>
    </row>
    <row r="2069" spans="1:28" s="58" customFormat="1" ht="30" customHeight="1" collapsed="1" x14ac:dyDescent="0.4">
      <c r="A2069" s="24">
        <f>A2064+1</f>
        <v>875</v>
      </c>
      <c r="B2069" s="25" t="s">
        <v>588</v>
      </c>
      <c r="C2069" s="89" t="s">
        <v>58</v>
      </c>
      <c r="D2069" s="90">
        <v>1</v>
      </c>
      <c r="E2069" s="99"/>
      <c r="F2069" s="57"/>
    </row>
    <row r="2070" spans="1:28" s="58" customFormat="1" ht="39" hidden="1" customHeight="1" outlineLevel="1" x14ac:dyDescent="0.4">
      <c r="A2070" s="87"/>
      <c r="B2070" s="48" t="s">
        <v>801</v>
      </c>
      <c r="C2070" s="75" t="s">
        <v>58</v>
      </c>
      <c r="D2070" s="74">
        <v>1</v>
      </c>
      <c r="E2070" s="88"/>
      <c r="F2070" s="57"/>
    </row>
    <row r="2071" spans="1:28" ht="31" customHeight="1" collapsed="1" x14ac:dyDescent="0.35">
      <c r="A2071" s="24">
        <f>A2069+1</f>
        <v>876</v>
      </c>
      <c r="B2071" s="25" t="s">
        <v>592</v>
      </c>
      <c r="C2071" s="89" t="s">
        <v>58</v>
      </c>
      <c r="D2071" s="26">
        <v>1</v>
      </c>
      <c r="E2071" s="41"/>
      <c r="F2071" s="42"/>
    </row>
    <row r="2072" spans="1:28" ht="30" hidden="1" customHeight="1" outlineLevel="1" x14ac:dyDescent="0.35">
      <c r="A2072" s="47"/>
      <c r="B2072" s="48" t="s">
        <v>593</v>
      </c>
      <c r="C2072" s="49" t="s">
        <v>58</v>
      </c>
      <c r="D2072" s="49">
        <v>5</v>
      </c>
      <c r="E2072" s="78"/>
      <c r="F2072" s="42"/>
    </row>
    <row r="2073" spans="1:28" s="58" customFormat="1" ht="30" customHeight="1" collapsed="1" x14ac:dyDescent="0.4">
      <c r="A2073" s="24">
        <f>A2071+1</f>
        <v>877</v>
      </c>
      <c r="B2073" s="71" t="s">
        <v>315</v>
      </c>
      <c r="C2073" s="40" t="s">
        <v>132</v>
      </c>
      <c r="D2073" s="82">
        <v>4</v>
      </c>
      <c r="E2073" s="66"/>
      <c r="F2073" s="57"/>
    </row>
    <row r="2074" spans="1:28" s="58" customFormat="1" ht="30" hidden="1" customHeight="1" outlineLevel="1" x14ac:dyDescent="0.4">
      <c r="A2074" s="87"/>
      <c r="B2074" s="48" t="s">
        <v>314</v>
      </c>
      <c r="C2074" s="75" t="s">
        <v>14</v>
      </c>
      <c r="D2074" s="65">
        <f>4*1.26/1000</f>
        <v>5.0400000000000002E-3</v>
      </c>
      <c r="E2074" s="88">
        <v>5.0000000000000001E-3</v>
      </c>
      <c r="F2074" s="57"/>
    </row>
    <row r="2075" spans="1:28" s="39" customFormat="1" ht="30" customHeight="1" collapsed="1" x14ac:dyDescent="0.35">
      <c r="A2075" s="153" t="s">
        <v>802</v>
      </c>
      <c r="B2075" s="153"/>
      <c r="C2075" s="153"/>
      <c r="D2075" s="153"/>
      <c r="E2075" s="153"/>
      <c r="F2075" s="34"/>
      <c r="G2075" s="35"/>
      <c r="H2075" s="36"/>
      <c r="I2075" s="37"/>
      <c r="J2075" s="37"/>
      <c r="K2075" s="38"/>
      <c r="L2075" s="38"/>
      <c r="M2075" s="38"/>
      <c r="N2075" s="36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</row>
    <row r="2076" spans="1:28" s="39" customFormat="1" ht="21" customHeight="1" x14ac:dyDescent="0.35">
      <c r="A2076" s="158" t="s">
        <v>803</v>
      </c>
      <c r="B2076" s="158"/>
      <c r="C2076" s="158"/>
      <c r="D2076" s="158"/>
      <c r="E2076" s="158"/>
      <c r="F2076" s="34"/>
      <c r="G2076" s="35"/>
      <c r="H2076" s="36"/>
      <c r="I2076" s="37"/>
      <c r="J2076" s="37"/>
      <c r="K2076" s="38"/>
      <c r="L2076" s="38"/>
      <c r="M2076" s="38"/>
      <c r="N2076" s="36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</row>
    <row r="2077" spans="1:28" ht="36" customHeight="1" x14ac:dyDescent="0.35">
      <c r="A2077" s="24">
        <f>A2073+1</f>
        <v>878</v>
      </c>
      <c r="B2077" s="59" t="s">
        <v>766</v>
      </c>
      <c r="C2077" s="26" t="s">
        <v>29</v>
      </c>
      <c r="D2077" s="67">
        <v>67.2</v>
      </c>
      <c r="E2077" s="41"/>
      <c r="F2077" s="42"/>
    </row>
    <row r="2078" spans="1:28" s="58" customFormat="1" ht="30" customHeight="1" x14ac:dyDescent="0.4">
      <c r="A2078" s="24">
        <f>A2077+1</f>
        <v>879</v>
      </c>
      <c r="B2078" s="25" t="s">
        <v>136</v>
      </c>
      <c r="C2078" s="26" t="s">
        <v>19</v>
      </c>
      <c r="D2078" s="40">
        <v>5.1100000000000003</v>
      </c>
      <c r="E2078" s="66"/>
      <c r="F2078" s="57"/>
    </row>
    <row r="2079" spans="1:28" s="58" customFormat="1" ht="30" hidden="1" customHeight="1" outlineLevel="1" x14ac:dyDescent="0.4">
      <c r="A2079" s="54"/>
      <c r="B2079" s="48" t="s">
        <v>134</v>
      </c>
      <c r="C2079" s="75" t="s">
        <v>19</v>
      </c>
      <c r="D2079" s="63">
        <f>5.11</f>
        <v>5.1100000000000003</v>
      </c>
      <c r="E2079" s="69"/>
      <c r="F2079" s="57"/>
    </row>
    <row r="2080" spans="1:28" ht="30" customHeight="1" collapsed="1" x14ac:dyDescent="0.35">
      <c r="A2080" s="24">
        <f>A2078+1</f>
        <v>880</v>
      </c>
      <c r="B2080" s="59" t="s">
        <v>804</v>
      </c>
      <c r="C2080" s="26" t="s">
        <v>19</v>
      </c>
      <c r="D2080" s="67">
        <v>10.8</v>
      </c>
      <c r="E2080" s="41"/>
      <c r="F2080" s="42"/>
    </row>
    <row r="2081" spans="1:28" ht="30" hidden="1" customHeight="1" outlineLevel="1" x14ac:dyDescent="0.35">
      <c r="A2081" s="47"/>
      <c r="B2081" s="48" t="s">
        <v>137</v>
      </c>
      <c r="C2081" s="49" t="s">
        <v>14</v>
      </c>
      <c r="D2081" s="49">
        <f>(456.7+462.3)/1000</f>
        <v>0.91900000000000004</v>
      </c>
      <c r="E2081" s="78"/>
      <c r="F2081" s="42"/>
    </row>
    <row r="2082" spans="1:28" ht="30" hidden="1" customHeight="1" outlineLevel="1" x14ac:dyDescent="0.35">
      <c r="A2082" s="47"/>
      <c r="B2082" s="48" t="s">
        <v>602</v>
      </c>
      <c r="C2082" s="49" t="s">
        <v>14</v>
      </c>
      <c r="D2082" s="65">
        <f>(76.55+48.11+24.89)/1000</f>
        <v>0.14955000000000002</v>
      </c>
      <c r="E2082" s="78"/>
      <c r="F2082" s="42"/>
    </row>
    <row r="2083" spans="1:28" s="58" customFormat="1" ht="30" hidden="1" customHeight="1" outlineLevel="1" x14ac:dyDescent="0.4">
      <c r="A2083" s="54"/>
      <c r="B2083" s="48" t="s">
        <v>65</v>
      </c>
      <c r="C2083" s="49" t="s">
        <v>19</v>
      </c>
      <c r="D2083" s="68">
        <f>10.8</f>
        <v>10.8</v>
      </c>
      <c r="E2083" s="69"/>
      <c r="F2083" s="57"/>
    </row>
    <row r="2084" spans="1:28" ht="36" customHeight="1" collapsed="1" x14ac:dyDescent="0.35">
      <c r="A2084" s="24">
        <f>A2080+1</f>
        <v>881</v>
      </c>
      <c r="B2084" s="59" t="s">
        <v>805</v>
      </c>
      <c r="C2084" s="26" t="s">
        <v>19</v>
      </c>
      <c r="D2084" s="67">
        <v>1.5</v>
      </c>
      <c r="E2084" s="41"/>
      <c r="F2084" s="42"/>
    </row>
    <row r="2085" spans="1:28" s="58" customFormat="1" ht="30" hidden="1" customHeight="1" outlineLevel="1" x14ac:dyDescent="0.4">
      <c r="A2085" s="54"/>
      <c r="B2085" s="48" t="s">
        <v>65</v>
      </c>
      <c r="C2085" s="49" t="s">
        <v>19</v>
      </c>
      <c r="D2085" s="68">
        <f>1.5</f>
        <v>1.5</v>
      </c>
      <c r="E2085" s="69"/>
      <c r="F2085" s="57"/>
    </row>
    <row r="2086" spans="1:28" ht="36" customHeight="1" collapsed="1" x14ac:dyDescent="0.35">
      <c r="A2086" s="24">
        <f>A2084+1</f>
        <v>882</v>
      </c>
      <c r="B2086" s="59" t="s">
        <v>806</v>
      </c>
      <c r="C2086" s="26" t="s">
        <v>19</v>
      </c>
      <c r="D2086" s="67">
        <v>3.17</v>
      </c>
      <c r="E2086" s="41"/>
      <c r="F2086" s="42"/>
    </row>
    <row r="2087" spans="1:28" s="58" customFormat="1" ht="30" hidden="1" customHeight="1" outlineLevel="1" x14ac:dyDescent="0.4">
      <c r="A2087" s="54"/>
      <c r="B2087" s="48" t="s">
        <v>52</v>
      </c>
      <c r="C2087" s="49" t="s">
        <v>19</v>
      </c>
      <c r="D2087" s="68">
        <f>3.17</f>
        <v>3.17</v>
      </c>
      <c r="E2087" s="69"/>
      <c r="F2087" s="57"/>
    </row>
    <row r="2088" spans="1:28" s="58" customFormat="1" ht="30" customHeight="1" collapsed="1" x14ac:dyDescent="0.4">
      <c r="A2088" s="24">
        <f>A2086+1</f>
        <v>883</v>
      </c>
      <c r="B2088" s="83" t="s">
        <v>462</v>
      </c>
      <c r="C2088" s="84" t="s">
        <v>132</v>
      </c>
      <c r="D2088" s="85">
        <v>12.6</v>
      </c>
      <c r="E2088" s="66"/>
      <c r="F2088" s="57"/>
    </row>
    <row r="2089" spans="1:28" s="58" customFormat="1" ht="30" customHeight="1" x14ac:dyDescent="0.4">
      <c r="A2089" s="24">
        <f>A2088+1</f>
        <v>884</v>
      </c>
      <c r="B2089" s="83" t="s">
        <v>668</v>
      </c>
      <c r="C2089" s="84" t="s">
        <v>19</v>
      </c>
      <c r="D2089" s="85">
        <v>0.08</v>
      </c>
      <c r="E2089" s="66"/>
      <c r="F2089" s="57"/>
    </row>
    <row r="2090" spans="1:28" s="58" customFormat="1" ht="30" customHeight="1" x14ac:dyDescent="0.4">
      <c r="A2090" s="24">
        <f>A2089+1</f>
        <v>885</v>
      </c>
      <c r="B2090" s="83" t="s">
        <v>466</v>
      </c>
      <c r="C2090" s="84" t="s">
        <v>467</v>
      </c>
      <c r="D2090" s="85" t="s">
        <v>807</v>
      </c>
      <c r="E2090" s="66"/>
      <c r="F2090" s="57"/>
    </row>
    <row r="2091" spans="1:28" s="39" customFormat="1" ht="21" customHeight="1" x14ac:dyDescent="0.35">
      <c r="A2091" s="158" t="s">
        <v>808</v>
      </c>
      <c r="B2091" s="158"/>
      <c r="C2091" s="158"/>
      <c r="D2091" s="158"/>
      <c r="E2091" s="158"/>
      <c r="F2091" s="34"/>
      <c r="G2091" s="35"/>
      <c r="H2091" s="36"/>
      <c r="I2091" s="37"/>
      <c r="J2091" s="37"/>
      <c r="K2091" s="38"/>
      <c r="L2091" s="38"/>
      <c r="M2091" s="38"/>
      <c r="N2091" s="36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</row>
    <row r="2092" spans="1:28" s="39" customFormat="1" ht="21" customHeight="1" x14ac:dyDescent="0.35">
      <c r="A2092" s="160" t="s">
        <v>809</v>
      </c>
      <c r="B2092" s="161"/>
      <c r="C2092" s="161"/>
      <c r="D2092" s="161"/>
      <c r="E2092" s="162"/>
      <c r="F2092" s="34"/>
      <c r="G2092" s="35"/>
      <c r="H2092" s="36"/>
      <c r="I2092" s="37"/>
      <c r="J2092" s="37"/>
      <c r="K2092" s="38"/>
      <c r="L2092" s="38"/>
      <c r="M2092" s="38"/>
      <c r="N2092" s="36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</row>
    <row r="2093" spans="1:28" ht="36" customHeight="1" x14ac:dyDescent="0.35">
      <c r="A2093" s="24">
        <f>A2090+1</f>
        <v>886</v>
      </c>
      <c r="B2093" s="59" t="s">
        <v>600</v>
      </c>
      <c r="C2093" s="26" t="s">
        <v>19</v>
      </c>
      <c r="D2093" s="67">
        <f>16.8*4</f>
        <v>67.2</v>
      </c>
      <c r="E2093" s="41"/>
      <c r="F2093" s="42"/>
    </row>
    <row r="2094" spans="1:28" s="58" customFormat="1" ht="30" customHeight="1" x14ac:dyDescent="0.4">
      <c r="A2094" s="24">
        <f>A2093+1</f>
        <v>887</v>
      </c>
      <c r="B2094" s="25" t="s">
        <v>136</v>
      </c>
      <c r="C2094" s="70" t="s">
        <v>19</v>
      </c>
      <c r="D2094" s="67">
        <f>0.26*4</f>
        <v>1.04</v>
      </c>
      <c r="E2094" s="66"/>
      <c r="F2094" s="57"/>
    </row>
    <row r="2095" spans="1:28" s="58" customFormat="1" ht="30" hidden="1" customHeight="1" outlineLevel="1" x14ac:dyDescent="0.4">
      <c r="A2095" s="54"/>
      <c r="B2095" s="48" t="s">
        <v>134</v>
      </c>
      <c r="C2095" s="75" t="s">
        <v>19</v>
      </c>
      <c r="D2095" s="63">
        <f>1</f>
        <v>1</v>
      </c>
      <c r="E2095" s="69"/>
      <c r="F2095" s="57"/>
    </row>
    <row r="2096" spans="1:28" s="58" customFormat="1" ht="30" customHeight="1" collapsed="1" x14ac:dyDescent="0.4">
      <c r="A2096" s="24">
        <f>A2094+1</f>
        <v>888</v>
      </c>
      <c r="B2096" s="59" t="s">
        <v>810</v>
      </c>
      <c r="C2096" s="70" t="s">
        <v>19</v>
      </c>
      <c r="D2096" s="67">
        <f>1.33*4</f>
        <v>5.32</v>
      </c>
      <c r="E2096" s="66"/>
      <c r="F2096" s="57"/>
    </row>
    <row r="2097" spans="1:28" ht="30" hidden="1" customHeight="1" outlineLevel="1" x14ac:dyDescent="0.35">
      <c r="A2097" s="47"/>
      <c r="B2097" s="48" t="s">
        <v>137</v>
      </c>
      <c r="C2097" s="49" t="s">
        <v>14</v>
      </c>
      <c r="D2097" s="65">
        <f>(19.18+49.2)*4/1000</f>
        <v>0.27351999999999999</v>
      </c>
      <c r="E2097" s="78"/>
      <c r="F2097" s="42"/>
    </row>
    <row r="2098" spans="1:28" s="58" customFormat="1" ht="30" hidden="1" customHeight="1" outlineLevel="1" x14ac:dyDescent="0.4">
      <c r="A2098" s="54"/>
      <c r="B2098" s="48" t="s">
        <v>602</v>
      </c>
      <c r="C2098" s="49" t="s">
        <v>14</v>
      </c>
      <c r="D2098" s="65">
        <f>10.4*4/1000</f>
        <v>4.1599999999999998E-2</v>
      </c>
      <c r="E2098" s="69"/>
      <c r="F2098" s="57"/>
    </row>
    <row r="2099" spans="1:28" ht="30" hidden="1" customHeight="1" outlineLevel="1" x14ac:dyDescent="0.35">
      <c r="A2099" s="47"/>
      <c r="B2099" s="48" t="s">
        <v>65</v>
      </c>
      <c r="C2099" s="49" t="s">
        <v>19</v>
      </c>
      <c r="D2099" s="68">
        <f>5.3</f>
        <v>5.3</v>
      </c>
      <c r="E2099" s="78"/>
      <c r="F2099" s="42"/>
    </row>
    <row r="2100" spans="1:28" s="58" customFormat="1" ht="30" customHeight="1" collapsed="1" x14ac:dyDescent="0.4">
      <c r="A2100" s="24">
        <f>A2096+1</f>
        <v>889</v>
      </c>
      <c r="B2100" s="59" t="s">
        <v>603</v>
      </c>
      <c r="C2100" s="70" t="s">
        <v>67</v>
      </c>
      <c r="D2100" s="40" t="s">
        <v>811</v>
      </c>
      <c r="E2100" s="66"/>
      <c r="F2100" s="57"/>
    </row>
    <row r="2101" spans="1:28" s="58" customFormat="1" ht="30" hidden="1" customHeight="1" outlineLevel="1" x14ac:dyDescent="0.4">
      <c r="A2101" s="54"/>
      <c r="B2101" s="48" t="s">
        <v>812</v>
      </c>
      <c r="C2101" s="49" t="s">
        <v>58</v>
      </c>
      <c r="D2101" s="55">
        <v>16</v>
      </c>
      <c r="E2101" s="51">
        <v>5.5E-2</v>
      </c>
      <c r="F2101" s="57"/>
    </row>
    <row r="2102" spans="1:28" s="58" customFormat="1" ht="30" customHeight="1" collapsed="1" x14ac:dyDescent="0.4">
      <c r="A2102" s="24">
        <f>A2100+1</f>
        <v>890</v>
      </c>
      <c r="B2102" s="83" t="s">
        <v>668</v>
      </c>
      <c r="C2102" s="84" t="s">
        <v>19</v>
      </c>
      <c r="D2102" s="85">
        <v>7.0000000000000007E-2</v>
      </c>
      <c r="E2102" s="66"/>
      <c r="F2102" s="57"/>
    </row>
    <row r="2103" spans="1:28" ht="31" customHeight="1" x14ac:dyDescent="0.35">
      <c r="A2103" s="24">
        <f t="shared" ref="A2103:A2104" si="8">A2102+1</f>
        <v>891</v>
      </c>
      <c r="B2103" s="25" t="s">
        <v>813</v>
      </c>
      <c r="C2103" s="89" t="s">
        <v>29</v>
      </c>
      <c r="D2103" s="26">
        <f>1.2*4</f>
        <v>4.8</v>
      </c>
      <c r="E2103" s="41"/>
      <c r="F2103" s="42"/>
    </row>
    <row r="2104" spans="1:28" ht="31" customHeight="1" x14ac:dyDescent="0.35">
      <c r="A2104" s="24">
        <f t="shared" si="8"/>
        <v>892</v>
      </c>
      <c r="B2104" s="25" t="s">
        <v>755</v>
      </c>
      <c r="C2104" s="89" t="s">
        <v>29</v>
      </c>
      <c r="D2104" s="80">
        <f>((1.4*0.4*4)+(1.55*0.6*4))*4</f>
        <v>23.839999999999996</v>
      </c>
      <c r="E2104" s="41"/>
      <c r="F2104" s="42"/>
    </row>
    <row r="2105" spans="1:28" ht="30" hidden="1" customHeight="1" outlineLevel="1" x14ac:dyDescent="0.35">
      <c r="A2105" s="47"/>
      <c r="B2105" s="48" t="s">
        <v>756</v>
      </c>
      <c r="C2105" s="49" t="s">
        <v>74</v>
      </c>
      <c r="D2105" s="68">
        <f>D2104*2</f>
        <v>47.679999999999993</v>
      </c>
      <c r="E2105" s="78"/>
      <c r="F2105" s="42"/>
    </row>
    <row r="2106" spans="1:28" ht="36" customHeight="1" collapsed="1" x14ac:dyDescent="0.35">
      <c r="A2106" s="24">
        <f>A2104+1</f>
        <v>893</v>
      </c>
      <c r="B2106" s="59" t="s">
        <v>757</v>
      </c>
      <c r="C2106" s="26" t="s">
        <v>19</v>
      </c>
      <c r="D2106" s="67">
        <f>67.2-5.3</f>
        <v>61.900000000000006</v>
      </c>
      <c r="E2106" s="41"/>
      <c r="F2106" s="42"/>
    </row>
    <row r="2107" spans="1:28" s="39" customFormat="1" ht="21" customHeight="1" x14ac:dyDescent="0.35">
      <c r="A2107" s="158" t="s">
        <v>814</v>
      </c>
      <c r="B2107" s="158"/>
      <c r="C2107" s="158"/>
      <c r="D2107" s="158"/>
      <c r="E2107" s="158"/>
      <c r="F2107" s="34"/>
      <c r="G2107" s="35"/>
      <c r="H2107" s="36"/>
      <c r="I2107" s="37"/>
      <c r="J2107" s="37"/>
      <c r="K2107" s="38"/>
      <c r="L2107" s="38"/>
      <c r="M2107" s="38"/>
      <c r="N2107" s="36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</row>
    <row r="2108" spans="1:28" s="39" customFormat="1" ht="21" customHeight="1" x14ac:dyDescent="0.35">
      <c r="A2108" s="160" t="s">
        <v>675</v>
      </c>
      <c r="B2108" s="161"/>
      <c r="C2108" s="161"/>
      <c r="D2108" s="161"/>
      <c r="E2108" s="162"/>
      <c r="F2108" s="34"/>
      <c r="G2108" s="35"/>
      <c r="H2108" s="36"/>
      <c r="I2108" s="37"/>
      <c r="J2108" s="37"/>
      <c r="K2108" s="38"/>
      <c r="L2108" s="38"/>
      <c r="M2108" s="38"/>
      <c r="N2108" s="36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</row>
    <row r="2109" spans="1:28" ht="36" customHeight="1" x14ac:dyDescent="0.35">
      <c r="A2109" s="24">
        <f>A2106+1</f>
        <v>894</v>
      </c>
      <c r="B2109" s="59" t="s">
        <v>600</v>
      </c>
      <c r="C2109" s="26" t="s">
        <v>19</v>
      </c>
      <c r="D2109" s="67">
        <f>16.8*2</f>
        <v>33.6</v>
      </c>
      <c r="E2109" s="41"/>
      <c r="F2109" s="42"/>
    </row>
    <row r="2110" spans="1:28" s="58" customFormat="1" ht="30" customHeight="1" x14ac:dyDescent="0.4">
      <c r="A2110" s="24">
        <f t="shared" ref="A2110" si="9">A2109+1</f>
        <v>895</v>
      </c>
      <c r="B2110" s="25" t="s">
        <v>136</v>
      </c>
      <c r="C2110" s="70" t="s">
        <v>19</v>
      </c>
      <c r="D2110" s="67">
        <f>0.2*2</f>
        <v>0.4</v>
      </c>
      <c r="E2110" s="66"/>
      <c r="F2110" s="57"/>
    </row>
    <row r="2111" spans="1:28" s="58" customFormat="1" ht="30" hidden="1" customHeight="1" outlineLevel="1" x14ac:dyDescent="0.4">
      <c r="A2111" s="54"/>
      <c r="B2111" s="48" t="s">
        <v>134</v>
      </c>
      <c r="C2111" s="75" t="s">
        <v>19</v>
      </c>
      <c r="D2111" s="63">
        <f>0.4</f>
        <v>0.4</v>
      </c>
      <c r="E2111" s="69"/>
      <c r="F2111" s="57"/>
    </row>
    <row r="2112" spans="1:28" s="58" customFormat="1" ht="30" customHeight="1" collapsed="1" x14ac:dyDescent="0.4">
      <c r="A2112" s="24">
        <f>A2110+1</f>
        <v>896</v>
      </c>
      <c r="B2112" s="59" t="s">
        <v>810</v>
      </c>
      <c r="C2112" s="70" t="s">
        <v>19</v>
      </c>
      <c r="D2112" s="67">
        <f>1.03*2</f>
        <v>2.06</v>
      </c>
      <c r="E2112" s="66"/>
      <c r="F2112" s="57"/>
    </row>
    <row r="2113" spans="1:28" ht="30" hidden="1" customHeight="1" outlineLevel="1" x14ac:dyDescent="0.35">
      <c r="A2113" s="47"/>
      <c r="B2113" s="48" t="s">
        <v>137</v>
      </c>
      <c r="C2113" s="49" t="s">
        <v>14</v>
      </c>
      <c r="D2113" s="65">
        <f>(14.29+49.2)*2/1000</f>
        <v>0.12698000000000001</v>
      </c>
      <c r="E2113" s="78"/>
      <c r="F2113" s="42"/>
    </row>
    <row r="2114" spans="1:28" s="58" customFormat="1" ht="30" hidden="1" customHeight="1" outlineLevel="1" x14ac:dyDescent="0.4">
      <c r="A2114" s="54"/>
      <c r="B2114" s="48" t="s">
        <v>602</v>
      </c>
      <c r="C2114" s="49" t="s">
        <v>14</v>
      </c>
      <c r="D2114" s="65">
        <f>10.4*2/1000</f>
        <v>2.0799999999999999E-2</v>
      </c>
      <c r="E2114" s="69"/>
      <c r="F2114" s="57"/>
    </row>
    <row r="2115" spans="1:28" ht="30" hidden="1" customHeight="1" outlineLevel="1" x14ac:dyDescent="0.35">
      <c r="A2115" s="47"/>
      <c r="B2115" s="48" t="s">
        <v>65</v>
      </c>
      <c r="C2115" s="49" t="s">
        <v>19</v>
      </c>
      <c r="D2115" s="68">
        <f>2.1</f>
        <v>2.1</v>
      </c>
      <c r="E2115" s="78"/>
      <c r="F2115" s="42"/>
    </row>
    <row r="2116" spans="1:28" s="58" customFormat="1" ht="30" customHeight="1" collapsed="1" x14ac:dyDescent="0.4">
      <c r="A2116" s="24">
        <f>A2112+1</f>
        <v>897</v>
      </c>
      <c r="B2116" s="59" t="s">
        <v>603</v>
      </c>
      <c r="C2116" s="70" t="s">
        <v>67</v>
      </c>
      <c r="D2116" s="40" t="s">
        <v>815</v>
      </c>
      <c r="E2116" s="66"/>
      <c r="F2116" s="57"/>
    </row>
    <row r="2117" spans="1:28" s="58" customFormat="1" ht="30" hidden="1" customHeight="1" outlineLevel="1" x14ac:dyDescent="0.4">
      <c r="A2117" s="54"/>
      <c r="B2117" s="48" t="s">
        <v>812</v>
      </c>
      <c r="C2117" s="49" t="s">
        <v>58</v>
      </c>
      <c r="D2117" s="55">
        <v>8</v>
      </c>
      <c r="E2117" s="51">
        <v>2.7E-2</v>
      </c>
      <c r="F2117" s="57"/>
    </row>
    <row r="2118" spans="1:28" s="58" customFormat="1" ht="30" customHeight="1" collapsed="1" x14ac:dyDescent="0.4">
      <c r="A2118" s="24">
        <f>A2116+1</f>
        <v>898</v>
      </c>
      <c r="B2118" s="83" t="s">
        <v>668</v>
      </c>
      <c r="C2118" s="84" t="s">
        <v>19</v>
      </c>
      <c r="D2118" s="118">
        <f>0.018*2</f>
        <v>3.5999999999999997E-2</v>
      </c>
      <c r="E2118" s="66"/>
      <c r="F2118" s="57"/>
    </row>
    <row r="2119" spans="1:28" ht="31" customHeight="1" x14ac:dyDescent="0.35">
      <c r="A2119" s="24">
        <f t="shared" ref="A2119:A2120" si="10">A2118+1</f>
        <v>899</v>
      </c>
      <c r="B2119" s="25" t="s">
        <v>813</v>
      </c>
      <c r="C2119" s="89" t="s">
        <v>29</v>
      </c>
      <c r="D2119" s="26">
        <f>1.2*2</f>
        <v>2.4</v>
      </c>
      <c r="E2119" s="41"/>
      <c r="F2119" s="42"/>
    </row>
    <row r="2120" spans="1:28" ht="31" customHeight="1" x14ac:dyDescent="0.35">
      <c r="A2120" s="24">
        <f t="shared" si="10"/>
        <v>900</v>
      </c>
      <c r="B2120" s="25" t="s">
        <v>755</v>
      </c>
      <c r="C2120" s="89" t="s">
        <v>29</v>
      </c>
      <c r="D2120" s="80">
        <f>((1.4*0.4*2)+(1.55*0.6*4))*2</f>
        <v>9.68</v>
      </c>
      <c r="E2120" s="41"/>
      <c r="F2120" s="42"/>
    </row>
    <row r="2121" spans="1:28" ht="30" hidden="1" customHeight="1" outlineLevel="1" x14ac:dyDescent="0.35">
      <c r="A2121" s="47"/>
      <c r="B2121" s="48" t="s">
        <v>756</v>
      </c>
      <c r="C2121" s="49" t="s">
        <v>74</v>
      </c>
      <c r="D2121" s="68">
        <f>D2120*2</f>
        <v>19.36</v>
      </c>
      <c r="E2121" s="78"/>
      <c r="F2121" s="42"/>
    </row>
    <row r="2122" spans="1:28" ht="36" customHeight="1" collapsed="1" x14ac:dyDescent="0.35">
      <c r="A2122" s="24">
        <f>A2120+1</f>
        <v>901</v>
      </c>
      <c r="B2122" s="59" t="s">
        <v>757</v>
      </c>
      <c r="C2122" s="26" t="s">
        <v>19</v>
      </c>
      <c r="D2122" s="67">
        <f>D2109-D2112</f>
        <v>31.540000000000003</v>
      </c>
      <c r="E2122" s="41"/>
      <c r="F2122" s="42"/>
    </row>
    <row r="2123" spans="1:28" s="39" customFormat="1" ht="21" customHeight="1" x14ac:dyDescent="0.35">
      <c r="A2123" s="158" t="s">
        <v>816</v>
      </c>
      <c r="B2123" s="158"/>
      <c r="C2123" s="158"/>
      <c r="D2123" s="158"/>
      <c r="E2123" s="158"/>
      <c r="F2123" s="34"/>
      <c r="G2123" s="35"/>
      <c r="H2123" s="36"/>
      <c r="I2123" s="37"/>
      <c r="J2123" s="37"/>
      <c r="K2123" s="38"/>
      <c r="L2123" s="38"/>
      <c r="M2123" s="38"/>
      <c r="N2123" s="36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</row>
    <row r="2124" spans="1:28" s="39" customFormat="1" ht="21" customHeight="1" x14ac:dyDescent="0.35">
      <c r="A2124" s="160" t="s">
        <v>817</v>
      </c>
      <c r="B2124" s="161"/>
      <c r="C2124" s="161"/>
      <c r="D2124" s="161"/>
      <c r="E2124" s="162"/>
      <c r="F2124" s="34"/>
      <c r="G2124" s="35"/>
      <c r="H2124" s="36"/>
      <c r="I2124" s="37"/>
      <c r="J2124" s="37"/>
      <c r="K2124" s="38"/>
      <c r="L2124" s="38"/>
      <c r="M2124" s="38"/>
      <c r="N2124" s="36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</row>
    <row r="2125" spans="1:28" ht="36" customHeight="1" x14ac:dyDescent="0.35">
      <c r="A2125" s="24">
        <f>A2122+1</f>
        <v>902</v>
      </c>
      <c r="B2125" s="59" t="s">
        <v>600</v>
      </c>
      <c r="C2125" s="26" t="s">
        <v>19</v>
      </c>
      <c r="D2125" s="67">
        <f>2*2*1.7*2</f>
        <v>13.6</v>
      </c>
      <c r="E2125" s="41"/>
      <c r="F2125" s="42"/>
    </row>
    <row r="2126" spans="1:28" s="58" customFormat="1" ht="30" customHeight="1" x14ac:dyDescent="0.4">
      <c r="A2126" s="24">
        <f t="shared" ref="A2126" si="11">A2125+1</f>
        <v>903</v>
      </c>
      <c r="B2126" s="25" t="s">
        <v>136</v>
      </c>
      <c r="C2126" s="70" t="s">
        <v>19</v>
      </c>
      <c r="D2126" s="67">
        <f>0.13*2</f>
        <v>0.26</v>
      </c>
      <c r="E2126" s="66"/>
      <c r="F2126" s="57"/>
    </row>
    <row r="2127" spans="1:28" s="58" customFormat="1" ht="30" hidden="1" customHeight="1" outlineLevel="1" x14ac:dyDescent="0.4">
      <c r="A2127" s="54"/>
      <c r="B2127" s="48" t="s">
        <v>134</v>
      </c>
      <c r="C2127" s="75" t="s">
        <v>19</v>
      </c>
      <c r="D2127" s="63">
        <f>0.3</f>
        <v>0.3</v>
      </c>
      <c r="E2127" s="69"/>
      <c r="F2127" s="57"/>
    </row>
    <row r="2128" spans="1:28" s="58" customFormat="1" ht="30" customHeight="1" collapsed="1" x14ac:dyDescent="0.4">
      <c r="A2128" s="24">
        <f>A2126+1</f>
        <v>904</v>
      </c>
      <c r="B2128" s="59" t="s">
        <v>810</v>
      </c>
      <c r="C2128" s="70" t="s">
        <v>19</v>
      </c>
      <c r="D2128" s="67">
        <f>1.69*2</f>
        <v>3.38</v>
      </c>
      <c r="E2128" s="66"/>
      <c r="F2128" s="57"/>
    </row>
    <row r="2129" spans="1:28" ht="30" hidden="1" customHeight="1" outlineLevel="1" x14ac:dyDescent="0.35">
      <c r="A2129" s="47"/>
      <c r="B2129" s="48" t="s">
        <v>137</v>
      </c>
      <c r="C2129" s="49" t="s">
        <v>14</v>
      </c>
      <c r="D2129" s="65">
        <f>(48.66+25.56)*2/1000</f>
        <v>0.14843999999999999</v>
      </c>
      <c r="E2129" s="78"/>
      <c r="F2129" s="42"/>
    </row>
    <row r="2130" spans="1:28" s="58" customFormat="1" ht="30" hidden="1" customHeight="1" outlineLevel="1" x14ac:dyDescent="0.4">
      <c r="A2130" s="54"/>
      <c r="B2130" s="48" t="s">
        <v>602</v>
      </c>
      <c r="C2130" s="49" t="s">
        <v>14</v>
      </c>
      <c r="D2130" s="65">
        <f>13.06*2/1000</f>
        <v>2.6120000000000001E-2</v>
      </c>
      <c r="E2130" s="69"/>
      <c r="F2130" s="57"/>
    </row>
    <row r="2131" spans="1:28" ht="30" hidden="1" customHeight="1" outlineLevel="1" x14ac:dyDescent="0.35">
      <c r="A2131" s="47"/>
      <c r="B2131" s="48" t="s">
        <v>65</v>
      </c>
      <c r="C2131" s="49" t="s">
        <v>19</v>
      </c>
      <c r="D2131" s="68">
        <f>3.4</f>
        <v>3.4</v>
      </c>
      <c r="E2131" s="78"/>
      <c r="F2131" s="42"/>
    </row>
    <row r="2132" spans="1:28" s="58" customFormat="1" ht="30" customHeight="1" collapsed="1" x14ac:dyDescent="0.4">
      <c r="A2132" s="24">
        <f>A2128+1</f>
        <v>905</v>
      </c>
      <c r="B2132" s="59" t="s">
        <v>603</v>
      </c>
      <c r="C2132" s="70" t="s">
        <v>67</v>
      </c>
      <c r="D2132" s="40" t="s">
        <v>815</v>
      </c>
      <c r="E2132" s="66"/>
      <c r="F2132" s="57"/>
    </row>
    <row r="2133" spans="1:28" s="58" customFormat="1" ht="30" hidden="1" customHeight="1" outlineLevel="1" x14ac:dyDescent="0.4">
      <c r="A2133" s="54"/>
      <c r="B2133" s="48" t="s">
        <v>812</v>
      </c>
      <c r="C2133" s="49" t="s">
        <v>58</v>
      </c>
      <c r="D2133" s="55">
        <v>8</v>
      </c>
      <c r="E2133" s="51">
        <v>2.7E-2</v>
      </c>
      <c r="F2133" s="57"/>
    </row>
    <row r="2134" spans="1:28" ht="31" customHeight="1" collapsed="1" x14ac:dyDescent="0.35">
      <c r="A2134" s="24">
        <f>A2132+1</f>
        <v>906</v>
      </c>
      <c r="B2134" s="25" t="s">
        <v>755</v>
      </c>
      <c r="C2134" s="89" t="s">
        <v>29</v>
      </c>
      <c r="D2134" s="80">
        <f>((1.3*1.8*2)+(0.65*1.8*2))*2</f>
        <v>14.040000000000003</v>
      </c>
      <c r="E2134" s="41"/>
      <c r="F2134" s="42"/>
    </row>
    <row r="2135" spans="1:28" ht="30" hidden="1" customHeight="1" outlineLevel="1" x14ac:dyDescent="0.35">
      <c r="A2135" s="47"/>
      <c r="B2135" s="48" t="s">
        <v>756</v>
      </c>
      <c r="C2135" s="49" t="s">
        <v>74</v>
      </c>
      <c r="D2135" s="68">
        <f>D2134*2</f>
        <v>28.080000000000005</v>
      </c>
      <c r="E2135" s="78"/>
      <c r="F2135" s="42"/>
    </row>
    <row r="2136" spans="1:28" ht="36" customHeight="1" collapsed="1" x14ac:dyDescent="0.35">
      <c r="A2136" s="24">
        <f>A2134+1</f>
        <v>907</v>
      </c>
      <c r="B2136" s="59" t="s">
        <v>757</v>
      </c>
      <c r="C2136" s="26" t="s">
        <v>19</v>
      </c>
      <c r="D2136" s="67">
        <f>D2125-D2128</f>
        <v>10.219999999999999</v>
      </c>
      <c r="E2136" s="41"/>
      <c r="F2136" s="42"/>
    </row>
    <row r="2137" spans="1:28" s="39" customFormat="1" ht="21" customHeight="1" x14ac:dyDescent="0.35">
      <c r="A2137" s="158" t="s">
        <v>818</v>
      </c>
      <c r="B2137" s="158"/>
      <c r="C2137" s="158"/>
      <c r="D2137" s="158"/>
      <c r="E2137" s="158"/>
      <c r="F2137" s="34"/>
      <c r="G2137" s="35"/>
      <c r="H2137" s="36"/>
      <c r="I2137" s="37"/>
      <c r="J2137" s="37"/>
      <c r="K2137" s="38"/>
      <c r="L2137" s="38"/>
      <c r="M2137" s="38"/>
      <c r="N2137" s="36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</row>
    <row r="2138" spans="1:28" s="39" customFormat="1" ht="21" customHeight="1" x14ac:dyDescent="0.35">
      <c r="A2138" s="154" t="s">
        <v>819</v>
      </c>
      <c r="B2138" s="154"/>
      <c r="C2138" s="154"/>
      <c r="D2138" s="154"/>
      <c r="E2138" s="154"/>
      <c r="F2138" s="34"/>
      <c r="G2138" s="35"/>
      <c r="H2138" s="36"/>
      <c r="I2138" s="37"/>
      <c r="J2138" s="37"/>
      <c r="K2138" s="38"/>
      <c r="L2138" s="38"/>
      <c r="M2138" s="38"/>
      <c r="N2138" s="36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</row>
    <row r="2139" spans="1:28" s="39" customFormat="1" ht="36" customHeight="1" x14ac:dyDescent="0.35">
      <c r="A2139" s="24">
        <f>A2136+1</f>
        <v>908</v>
      </c>
      <c r="B2139" s="25" t="s">
        <v>119</v>
      </c>
      <c r="C2139" s="26" t="s">
        <v>67</v>
      </c>
      <c r="D2139" s="106" t="s">
        <v>815</v>
      </c>
      <c r="E2139" s="64"/>
      <c r="F2139" s="34"/>
      <c r="G2139" s="35"/>
      <c r="H2139" s="36"/>
      <c r="I2139" s="37"/>
      <c r="J2139" s="37"/>
      <c r="K2139" s="38"/>
      <c r="L2139" s="38"/>
      <c r="M2139" s="38"/>
      <c r="N2139" s="36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</row>
    <row r="2140" spans="1:28" s="58" customFormat="1" ht="30" hidden="1" customHeight="1" outlineLevel="1" x14ac:dyDescent="0.4">
      <c r="A2140" s="54"/>
      <c r="B2140" s="48" t="s">
        <v>471</v>
      </c>
      <c r="C2140" s="49" t="s">
        <v>14</v>
      </c>
      <c r="D2140" s="65">
        <f>4.68*8.38/1000</f>
        <v>3.92184E-2</v>
      </c>
      <c r="E2140" s="51"/>
      <c r="F2140" s="57"/>
    </row>
    <row r="2141" spans="1:28" s="58" customFormat="1" ht="30" hidden="1" customHeight="1" outlineLevel="1" x14ac:dyDescent="0.4">
      <c r="A2141" s="54"/>
      <c r="B2141" s="48" t="s">
        <v>185</v>
      </c>
      <c r="C2141" s="49" t="s">
        <v>14</v>
      </c>
      <c r="D2141" s="65">
        <f>(2.52+1.52)*4/1000</f>
        <v>1.6160000000000001E-2</v>
      </c>
      <c r="E2141" s="51"/>
      <c r="F2141" s="57"/>
    </row>
    <row r="2142" spans="1:28" s="58" customFormat="1" ht="30" customHeight="1" collapsed="1" x14ac:dyDescent="0.4">
      <c r="A2142" s="24">
        <f>A2139+1</f>
        <v>909</v>
      </c>
      <c r="B2142" s="59" t="s">
        <v>472</v>
      </c>
      <c r="C2142" s="26" t="s">
        <v>67</v>
      </c>
      <c r="D2142" s="85" t="s">
        <v>820</v>
      </c>
      <c r="E2142" s="66"/>
      <c r="F2142" s="57"/>
    </row>
    <row r="2143" spans="1:28" s="58" customFormat="1" ht="30" hidden="1" customHeight="1" outlineLevel="1" x14ac:dyDescent="0.4">
      <c r="A2143" s="54"/>
      <c r="B2143" s="48" t="s">
        <v>474</v>
      </c>
      <c r="C2143" s="49" t="s">
        <v>58</v>
      </c>
      <c r="D2143" s="55">
        <v>8</v>
      </c>
      <c r="E2143" s="51">
        <v>3.6999999999999998E-2</v>
      </c>
      <c r="F2143" s="57"/>
    </row>
    <row r="2144" spans="1:28" ht="36" customHeight="1" collapsed="1" x14ac:dyDescent="0.35">
      <c r="A2144" s="24">
        <f>A2142+1</f>
        <v>910</v>
      </c>
      <c r="B2144" s="59" t="s">
        <v>72</v>
      </c>
      <c r="C2144" s="26" t="s">
        <v>29</v>
      </c>
      <c r="D2144" s="67">
        <f>((0.089*3.14*4.68)+(0.2*0.2*2*8)+(0.08*0.1*2*8))</f>
        <v>2.0758728</v>
      </c>
      <c r="E2144" s="41"/>
      <c r="F2144" s="42"/>
    </row>
    <row r="2145" spans="1:28" s="58" customFormat="1" ht="30" hidden="1" customHeight="1" outlineLevel="1" x14ac:dyDescent="0.4">
      <c r="A2145" s="54"/>
      <c r="B2145" s="48" t="s">
        <v>73</v>
      </c>
      <c r="C2145" s="49" t="s">
        <v>74</v>
      </c>
      <c r="D2145" s="68">
        <f>3.31*D2144</f>
        <v>6.8711389680000003</v>
      </c>
      <c r="E2145" s="69">
        <v>7.0000000000000001E-3</v>
      </c>
      <c r="F2145" s="57"/>
    </row>
    <row r="2146" spans="1:28" ht="36" customHeight="1" collapsed="1" x14ac:dyDescent="0.35">
      <c r="A2146" s="24">
        <f>A2144+1</f>
        <v>911</v>
      </c>
      <c r="B2146" s="59" t="s">
        <v>75</v>
      </c>
      <c r="C2146" s="26" t="s">
        <v>29</v>
      </c>
      <c r="D2146" s="67">
        <f>((0.089*3.14*4.68)+(0.2*0.2*2*8)+(0.08*0.1*2*8))</f>
        <v>2.0758728</v>
      </c>
      <c r="E2146" s="41"/>
      <c r="F2146" s="42"/>
    </row>
    <row r="2147" spans="1:28" ht="36" customHeight="1" x14ac:dyDescent="0.35">
      <c r="A2147" s="24">
        <f>A2146+1</f>
        <v>912</v>
      </c>
      <c r="B2147" s="59" t="s">
        <v>76</v>
      </c>
      <c r="C2147" s="26" t="s">
        <v>29</v>
      </c>
      <c r="D2147" s="67">
        <f>((0.089*3.14*4.68)+(0.2*0.2*2*8)+(0.08*0.1*2*8))</f>
        <v>2.0758728</v>
      </c>
      <c r="E2147" s="41"/>
      <c r="F2147" s="42"/>
    </row>
    <row r="2148" spans="1:28" s="58" customFormat="1" ht="30" customHeight="1" x14ac:dyDescent="0.4">
      <c r="A2148" s="24">
        <f>A2147+1</f>
        <v>913</v>
      </c>
      <c r="B2148" s="59" t="s">
        <v>77</v>
      </c>
      <c r="C2148" s="70" t="s">
        <v>29</v>
      </c>
      <c r="D2148" s="67">
        <f>((0.089*3.14*4.68)+(0.2*0.2*2*8)+(0.08*0.1*2*8))</f>
        <v>2.0758728</v>
      </c>
      <c r="E2148" s="66"/>
      <c r="F2148" s="57"/>
    </row>
    <row r="2149" spans="1:28" s="58" customFormat="1" ht="30" hidden="1" customHeight="1" outlineLevel="1" x14ac:dyDescent="0.4">
      <c r="A2149" s="54"/>
      <c r="B2149" s="48" t="s">
        <v>78</v>
      </c>
      <c r="C2149" s="49" t="s">
        <v>74</v>
      </c>
      <c r="D2149" s="68">
        <f>D2148*0.255</f>
        <v>0.52934756400000005</v>
      </c>
      <c r="E2149" s="69">
        <v>1E-3</v>
      </c>
      <c r="F2149" s="57"/>
    </row>
    <row r="2150" spans="1:28" s="58" customFormat="1" ht="30" customHeight="1" collapsed="1" x14ac:dyDescent="0.4">
      <c r="A2150" s="24">
        <f>A2148+1</f>
        <v>914</v>
      </c>
      <c r="B2150" s="59" t="s">
        <v>79</v>
      </c>
      <c r="C2150" s="70" t="s">
        <v>29</v>
      </c>
      <c r="D2150" s="67">
        <f>((0.089*3.14*4.68)+(0.2*0.2*2*8)+(0.08*0.1*2*8))</f>
        <v>2.0758728</v>
      </c>
      <c r="E2150" s="66"/>
      <c r="F2150" s="57"/>
    </row>
    <row r="2151" spans="1:28" s="58" customFormat="1" ht="30" hidden="1" customHeight="1" outlineLevel="1" x14ac:dyDescent="0.4">
      <c r="A2151" s="54"/>
      <c r="B2151" s="48" t="s">
        <v>80</v>
      </c>
      <c r="C2151" s="49" t="s">
        <v>74</v>
      </c>
      <c r="D2151" s="68">
        <f>D2150*0.36*2</f>
        <v>1.4946284159999998</v>
      </c>
      <c r="E2151" s="69">
        <v>2E-3</v>
      </c>
      <c r="F2151" s="57"/>
    </row>
    <row r="2152" spans="1:28" s="39" customFormat="1" ht="21" customHeight="1" collapsed="1" x14ac:dyDescent="0.35">
      <c r="A2152" s="154" t="s">
        <v>821</v>
      </c>
      <c r="B2152" s="154"/>
      <c r="C2152" s="154"/>
      <c r="D2152" s="154"/>
      <c r="E2152" s="154"/>
      <c r="F2152" s="34"/>
      <c r="G2152" s="35"/>
      <c r="H2152" s="36"/>
      <c r="I2152" s="37"/>
      <c r="J2152" s="37"/>
      <c r="K2152" s="38"/>
      <c r="L2152" s="38"/>
      <c r="M2152" s="38"/>
      <c r="N2152" s="36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</row>
    <row r="2153" spans="1:28" s="58" customFormat="1" ht="30" customHeight="1" x14ac:dyDescent="0.4">
      <c r="A2153" s="24">
        <f>A2150+1</f>
        <v>915</v>
      </c>
      <c r="B2153" s="59" t="s">
        <v>472</v>
      </c>
      <c r="C2153" s="26" t="s">
        <v>67</v>
      </c>
      <c r="D2153" s="85" t="s">
        <v>478</v>
      </c>
      <c r="E2153" s="66"/>
      <c r="F2153" s="57"/>
    </row>
    <row r="2154" spans="1:28" s="58" customFormat="1" ht="30" hidden="1" customHeight="1" outlineLevel="1" x14ac:dyDescent="0.4">
      <c r="A2154" s="54"/>
      <c r="B2154" s="48" t="s">
        <v>140</v>
      </c>
      <c r="C2154" s="49" t="s">
        <v>58</v>
      </c>
      <c r="D2154" s="55">
        <v>6</v>
      </c>
      <c r="E2154" s="51">
        <v>2.1000000000000001E-2</v>
      </c>
      <c r="F2154" s="57"/>
    </row>
    <row r="2155" spans="1:28" ht="36" customHeight="1" collapsed="1" x14ac:dyDescent="0.35">
      <c r="A2155" s="24">
        <f>A2153+1</f>
        <v>916</v>
      </c>
      <c r="B2155" s="59" t="s">
        <v>72</v>
      </c>
      <c r="C2155" s="26" t="s">
        <v>29</v>
      </c>
      <c r="D2155" s="67">
        <f>(0.2*0.2*6)</f>
        <v>0.24000000000000005</v>
      </c>
      <c r="E2155" s="41"/>
      <c r="F2155" s="42"/>
    </row>
    <row r="2156" spans="1:28" s="58" customFormat="1" ht="30" hidden="1" customHeight="1" outlineLevel="1" x14ac:dyDescent="0.4">
      <c r="A2156" s="54"/>
      <c r="B2156" s="48" t="s">
        <v>73</v>
      </c>
      <c r="C2156" s="49" t="s">
        <v>74</v>
      </c>
      <c r="D2156" s="68">
        <f>3.31*D2155</f>
        <v>0.79440000000000022</v>
      </c>
      <c r="E2156" s="69">
        <v>1E-3</v>
      </c>
      <c r="F2156" s="57"/>
    </row>
    <row r="2157" spans="1:28" ht="36" customHeight="1" collapsed="1" x14ac:dyDescent="0.35">
      <c r="A2157" s="24">
        <f>A2155+1</f>
        <v>917</v>
      </c>
      <c r="B2157" s="59" t="s">
        <v>75</v>
      </c>
      <c r="C2157" s="26" t="s">
        <v>29</v>
      </c>
      <c r="D2157" s="67">
        <f>(0.2*0.2*6)</f>
        <v>0.24000000000000005</v>
      </c>
      <c r="E2157" s="41"/>
      <c r="F2157" s="42"/>
    </row>
    <row r="2158" spans="1:28" ht="36" customHeight="1" x14ac:dyDescent="0.35">
      <c r="A2158" s="24">
        <f>A2157+1</f>
        <v>918</v>
      </c>
      <c r="B2158" s="59" t="s">
        <v>76</v>
      </c>
      <c r="C2158" s="26" t="s">
        <v>29</v>
      </c>
      <c r="D2158" s="67">
        <f>(0.2*0.2*6)</f>
        <v>0.24000000000000005</v>
      </c>
      <c r="E2158" s="41"/>
      <c r="F2158" s="42"/>
    </row>
    <row r="2159" spans="1:28" s="58" customFormat="1" ht="30" customHeight="1" x14ac:dyDescent="0.4">
      <c r="A2159" s="24">
        <f>A2158+1</f>
        <v>919</v>
      </c>
      <c r="B2159" s="59" t="s">
        <v>77</v>
      </c>
      <c r="C2159" s="70" t="s">
        <v>29</v>
      </c>
      <c r="D2159" s="67">
        <f>(0.2*0.2*6)</f>
        <v>0.24000000000000005</v>
      </c>
      <c r="E2159" s="66"/>
      <c r="F2159" s="57"/>
    </row>
    <row r="2160" spans="1:28" s="58" customFormat="1" ht="30" hidden="1" customHeight="1" outlineLevel="1" x14ac:dyDescent="0.4">
      <c r="A2160" s="54"/>
      <c r="B2160" s="48" t="s">
        <v>78</v>
      </c>
      <c r="C2160" s="49" t="s">
        <v>74</v>
      </c>
      <c r="D2160" s="68">
        <f>D2159*0.255</f>
        <v>6.1200000000000011E-2</v>
      </c>
      <c r="E2160" s="69">
        <v>1E-3</v>
      </c>
      <c r="F2160" s="57"/>
    </row>
    <row r="2161" spans="1:28" s="58" customFormat="1" ht="30" customHeight="1" collapsed="1" x14ac:dyDescent="0.4">
      <c r="A2161" s="24">
        <f>A2159+1</f>
        <v>920</v>
      </c>
      <c r="B2161" s="59" t="s">
        <v>79</v>
      </c>
      <c r="C2161" s="70" t="s">
        <v>29</v>
      </c>
      <c r="D2161" s="67">
        <f>(0.2*0.2*6)</f>
        <v>0.24000000000000005</v>
      </c>
      <c r="E2161" s="66"/>
      <c r="F2161" s="57"/>
    </row>
    <row r="2162" spans="1:28" s="58" customFormat="1" ht="30" hidden="1" customHeight="1" outlineLevel="1" x14ac:dyDescent="0.4">
      <c r="A2162" s="54"/>
      <c r="B2162" s="48" t="s">
        <v>80</v>
      </c>
      <c r="C2162" s="49" t="s">
        <v>74</v>
      </c>
      <c r="D2162" s="68">
        <f>D2161*0.36*2</f>
        <v>0.17280000000000004</v>
      </c>
      <c r="E2162" s="69"/>
      <c r="F2162" s="57"/>
    </row>
    <row r="2163" spans="1:28" s="39" customFormat="1" ht="21" customHeight="1" collapsed="1" x14ac:dyDescent="0.35">
      <c r="A2163" s="154" t="s">
        <v>822</v>
      </c>
      <c r="B2163" s="154"/>
      <c r="C2163" s="154"/>
      <c r="D2163" s="154"/>
      <c r="E2163" s="154"/>
      <c r="F2163" s="34"/>
      <c r="G2163" s="35"/>
      <c r="H2163" s="36"/>
      <c r="I2163" s="37"/>
      <c r="J2163" s="37"/>
      <c r="K2163" s="38"/>
      <c r="L2163" s="38"/>
      <c r="M2163" s="38"/>
      <c r="N2163" s="36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</row>
    <row r="2164" spans="1:28" s="39" customFormat="1" ht="36" customHeight="1" x14ac:dyDescent="0.35">
      <c r="A2164" s="24">
        <f>A2161+1</f>
        <v>921</v>
      </c>
      <c r="B2164" s="25" t="s">
        <v>119</v>
      </c>
      <c r="C2164" s="26" t="s">
        <v>67</v>
      </c>
      <c r="D2164" s="106" t="s">
        <v>823</v>
      </c>
      <c r="E2164" s="64"/>
      <c r="F2164" s="34"/>
      <c r="G2164" s="35"/>
      <c r="H2164" s="36"/>
      <c r="I2164" s="37"/>
      <c r="J2164" s="37"/>
      <c r="K2164" s="38"/>
      <c r="L2164" s="38"/>
      <c r="M2164" s="38"/>
      <c r="N2164" s="36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</row>
    <row r="2165" spans="1:28" s="58" customFormat="1" ht="30" hidden="1" customHeight="1" outlineLevel="1" x14ac:dyDescent="0.4">
      <c r="A2165" s="54"/>
      <c r="B2165" s="48" t="s">
        <v>471</v>
      </c>
      <c r="C2165" s="49" t="s">
        <v>14</v>
      </c>
      <c r="D2165" s="65">
        <f>1.53*8.38/1000</f>
        <v>1.28214E-2</v>
      </c>
      <c r="E2165" s="51"/>
      <c r="F2165" s="57"/>
    </row>
    <row r="2166" spans="1:28" s="58" customFormat="1" ht="30" hidden="1" customHeight="1" outlineLevel="1" x14ac:dyDescent="0.4">
      <c r="A2166" s="54"/>
      <c r="B2166" s="48" t="s">
        <v>185</v>
      </c>
      <c r="C2166" s="49" t="s">
        <v>14</v>
      </c>
      <c r="D2166" s="65">
        <f>(1.52+10.84)*2/1000</f>
        <v>2.4719999999999999E-2</v>
      </c>
      <c r="E2166" s="51"/>
      <c r="F2166" s="57"/>
    </row>
    <row r="2167" spans="1:28" s="58" customFormat="1" ht="30" customHeight="1" collapsed="1" x14ac:dyDescent="0.4">
      <c r="A2167" s="24">
        <f>A2164+1</f>
        <v>922</v>
      </c>
      <c r="B2167" s="59" t="s">
        <v>472</v>
      </c>
      <c r="C2167" s="26" t="s">
        <v>67</v>
      </c>
      <c r="D2167" s="85" t="s">
        <v>824</v>
      </c>
      <c r="E2167" s="66"/>
      <c r="F2167" s="57"/>
    </row>
    <row r="2168" spans="1:28" s="58" customFormat="1" ht="30" hidden="1" customHeight="1" outlineLevel="1" x14ac:dyDescent="0.4">
      <c r="A2168" s="54"/>
      <c r="B2168" s="48" t="s">
        <v>474</v>
      </c>
      <c r="C2168" s="49" t="s">
        <v>58</v>
      </c>
      <c r="D2168" s="55">
        <v>2</v>
      </c>
      <c r="E2168" s="51">
        <v>8.9999999999999993E-3</v>
      </c>
      <c r="F2168" s="57"/>
    </row>
    <row r="2169" spans="1:28" ht="36" customHeight="1" collapsed="1" x14ac:dyDescent="0.35">
      <c r="A2169" s="24">
        <f>A2167+1</f>
        <v>923</v>
      </c>
      <c r="B2169" s="59" t="s">
        <v>72</v>
      </c>
      <c r="C2169" s="26" t="s">
        <v>29</v>
      </c>
      <c r="D2169" s="67">
        <f>((0.089*3.14*1.53)+(0.2*0.2*2*2)+(0.08*0.1*2*2))</f>
        <v>0.61957380000000006</v>
      </c>
      <c r="E2169" s="41"/>
      <c r="F2169" s="42"/>
    </row>
    <row r="2170" spans="1:28" s="58" customFormat="1" ht="30" hidden="1" customHeight="1" outlineLevel="1" x14ac:dyDescent="0.4">
      <c r="A2170" s="54"/>
      <c r="B2170" s="48" t="s">
        <v>73</v>
      </c>
      <c r="C2170" s="49" t="s">
        <v>74</v>
      </c>
      <c r="D2170" s="68">
        <f>3.31*D2169</f>
        <v>2.0507892780000003</v>
      </c>
      <c r="E2170" s="69">
        <v>2E-3</v>
      </c>
      <c r="F2170" s="57"/>
    </row>
    <row r="2171" spans="1:28" ht="36" customHeight="1" collapsed="1" x14ac:dyDescent="0.35">
      <c r="A2171" s="24">
        <f>A2169+1</f>
        <v>924</v>
      </c>
      <c r="B2171" s="59" t="s">
        <v>75</v>
      </c>
      <c r="C2171" s="26" t="s">
        <v>29</v>
      </c>
      <c r="D2171" s="67">
        <f>((0.089*3.14*1.53)+(0.2*0.2*2*2)+(0.08*0.1*2*2))</f>
        <v>0.61957380000000006</v>
      </c>
      <c r="E2171" s="41"/>
      <c r="F2171" s="42"/>
    </row>
    <row r="2172" spans="1:28" ht="36" customHeight="1" x14ac:dyDescent="0.35">
      <c r="A2172" s="24">
        <f>A2171+1</f>
        <v>925</v>
      </c>
      <c r="B2172" s="59" t="s">
        <v>76</v>
      </c>
      <c r="C2172" s="26" t="s">
        <v>29</v>
      </c>
      <c r="D2172" s="67">
        <f>((0.089*3.14*1.53)+(0.2*0.2*2*2)+(0.08*0.1*2*2))</f>
        <v>0.61957380000000006</v>
      </c>
      <c r="E2172" s="41"/>
      <c r="F2172" s="42"/>
    </row>
    <row r="2173" spans="1:28" s="58" customFormat="1" ht="30" customHeight="1" x14ac:dyDescent="0.4">
      <c r="A2173" s="24">
        <f>A2172+1</f>
        <v>926</v>
      </c>
      <c r="B2173" s="59" t="s">
        <v>77</v>
      </c>
      <c r="C2173" s="70" t="s">
        <v>29</v>
      </c>
      <c r="D2173" s="67">
        <f>((0.089*3.14*1.53)+(0.2*0.2*2*2)+(0.08*0.1*2*2))</f>
        <v>0.61957380000000006</v>
      </c>
      <c r="E2173" s="66"/>
      <c r="F2173" s="57"/>
    </row>
    <row r="2174" spans="1:28" s="58" customFormat="1" ht="30" hidden="1" customHeight="1" outlineLevel="1" x14ac:dyDescent="0.4">
      <c r="A2174" s="54"/>
      <c r="B2174" s="48" t="s">
        <v>78</v>
      </c>
      <c r="C2174" s="49" t="s">
        <v>74</v>
      </c>
      <c r="D2174" s="68">
        <f>D2173*0.255</f>
        <v>0.15799131900000002</v>
      </c>
      <c r="E2174" s="69">
        <v>1E-3</v>
      </c>
      <c r="F2174" s="57"/>
    </row>
    <row r="2175" spans="1:28" s="58" customFormat="1" ht="30" customHeight="1" collapsed="1" x14ac:dyDescent="0.4">
      <c r="A2175" s="24">
        <f>A2173+1</f>
        <v>927</v>
      </c>
      <c r="B2175" s="59" t="s">
        <v>79</v>
      </c>
      <c r="C2175" s="70" t="s">
        <v>29</v>
      </c>
      <c r="D2175" s="67">
        <f>((0.089*3.14*1.53)+(0.2*0.2*2*2)+(0.08*0.1*2*2))</f>
        <v>0.61957380000000006</v>
      </c>
      <c r="E2175" s="66"/>
      <c r="F2175" s="57"/>
    </row>
    <row r="2176" spans="1:28" s="58" customFormat="1" ht="30" hidden="1" customHeight="1" outlineLevel="1" x14ac:dyDescent="0.4">
      <c r="A2176" s="54"/>
      <c r="B2176" s="48" t="s">
        <v>80</v>
      </c>
      <c r="C2176" s="49" t="s">
        <v>74</v>
      </c>
      <c r="D2176" s="68">
        <f>D2175*0.36*2</f>
        <v>0.44609313600000006</v>
      </c>
      <c r="E2176" s="69"/>
      <c r="F2176" s="57"/>
    </row>
    <row r="2177" spans="1:28" s="39" customFormat="1" ht="21" customHeight="1" collapsed="1" x14ac:dyDescent="0.35">
      <c r="A2177" s="158" t="s">
        <v>825</v>
      </c>
      <c r="B2177" s="158"/>
      <c r="C2177" s="158"/>
      <c r="D2177" s="158"/>
      <c r="E2177" s="158"/>
      <c r="F2177" s="34"/>
      <c r="G2177" s="35"/>
      <c r="H2177" s="36"/>
      <c r="I2177" s="37"/>
      <c r="J2177" s="37"/>
      <c r="K2177" s="38"/>
      <c r="L2177" s="38"/>
      <c r="M2177" s="38"/>
      <c r="N2177" s="36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</row>
    <row r="2178" spans="1:28" ht="31" customHeight="1" x14ac:dyDescent="0.35">
      <c r="A2178" s="24">
        <f>A2175+1</f>
        <v>928</v>
      </c>
      <c r="B2178" s="25" t="s">
        <v>826</v>
      </c>
      <c r="C2178" s="89" t="s">
        <v>58</v>
      </c>
      <c r="D2178" s="26">
        <v>2</v>
      </c>
      <c r="E2178" s="41"/>
      <c r="F2178" s="42"/>
    </row>
    <row r="2179" spans="1:28" ht="30" hidden="1" customHeight="1" outlineLevel="1" x14ac:dyDescent="0.35">
      <c r="A2179" s="47"/>
      <c r="B2179" s="48" t="s">
        <v>827</v>
      </c>
      <c r="C2179" s="49" t="s">
        <v>58</v>
      </c>
      <c r="D2179" s="49">
        <v>2</v>
      </c>
      <c r="E2179" s="78">
        <v>0.41799999999999998</v>
      </c>
      <c r="F2179" s="42"/>
    </row>
    <row r="2180" spans="1:28" ht="31" customHeight="1" collapsed="1" x14ac:dyDescent="0.35">
      <c r="A2180" s="24">
        <f>A2178+1</f>
        <v>929</v>
      </c>
      <c r="B2180" s="25" t="s">
        <v>828</v>
      </c>
      <c r="C2180" s="89" t="s">
        <v>58</v>
      </c>
      <c r="D2180" s="26">
        <v>2</v>
      </c>
      <c r="E2180" s="41"/>
      <c r="F2180" s="42"/>
    </row>
    <row r="2181" spans="1:28" ht="30" hidden="1" customHeight="1" outlineLevel="1" x14ac:dyDescent="0.35">
      <c r="A2181" s="47"/>
      <c r="B2181" s="48" t="s">
        <v>829</v>
      </c>
      <c r="C2181" s="49" t="s">
        <v>58</v>
      </c>
      <c r="D2181" s="49">
        <v>2</v>
      </c>
      <c r="E2181" s="78">
        <v>0.09</v>
      </c>
      <c r="F2181" s="42"/>
    </row>
    <row r="2182" spans="1:28" s="33" customFormat="1" ht="31" customHeight="1" collapsed="1" x14ac:dyDescent="0.35">
      <c r="A2182" s="24">
        <f>A2180+1</f>
        <v>930</v>
      </c>
      <c r="B2182" s="59" t="s">
        <v>506</v>
      </c>
      <c r="C2182" s="26" t="s">
        <v>58</v>
      </c>
      <c r="D2182" s="73">
        <v>6</v>
      </c>
      <c r="E2182" s="28"/>
      <c r="F2182" s="29"/>
      <c r="G2182" s="30"/>
      <c r="H2182" s="31"/>
      <c r="I2182" s="30"/>
      <c r="J2182" s="30"/>
      <c r="K2182" s="32"/>
      <c r="L2182" s="32"/>
      <c r="M2182" s="32"/>
      <c r="N2182" s="31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</row>
    <row r="2183" spans="1:28" s="39" customFormat="1" ht="46.3" hidden="1" outlineLevel="1" x14ac:dyDescent="0.35">
      <c r="A2183" s="74"/>
      <c r="B2183" s="48" t="s">
        <v>507</v>
      </c>
      <c r="C2183" s="49" t="s">
        <v>251</v>
      </c>
      <c r="D2183" s="55">
        <v>4</v>
      </c>
      <c r="E2183" s="78">
        <v>0.23599999999999999</v>
      </c>
      <c r="F2183" s="34"/>
      <c r="G2183" s="35"/>
      <c r="H2183" s="36"/>
      <c r="I2183" s="37"/>
      <c r="J2183" s="37"/>
      <c r="K2183" s="38"/>
      <c r="L2183" s="38"/>
      <c r="M2183" s="38"/>
      <c r="N2183" s="36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</row>
    <row r="2184" spans="1:28" ht="30" hidden="1" customHeight="1" outlineLevel="1" x14ac:dyDescent="0.35">
      <c r="A2184" s="47"/>
      <c r="B2184" s="48" t="s">
        <v>830</v>
      </c>
      <c r="C2184" s="49" t="s">
        <v>251</v>
      </c>
      <c r="D2184" s="49">
        <v>2</v>
      </c>
      <c r="E2184" s="78">
        <v>9.6000000000000002E-2</v>
      </c>
      <c r="F2184" s="42"/>
    </row>
    <row r="2185" spans="1:28" s="58" customFormat="1" ht="30" customHeight="1" collapsed="1" x14ac:dyDescent="0.4">
      <c r="A2185" s="24">
        <f>A2182+1</f>
        <v>931</v>
      </c>
      <c r="B2185" s="59" t="s">
        <v>831</v>
      </c>
      <c r="C2185" s="70" t="s">
        <v>58</v>
      </c>
      <c r="D2185" s="40">
        <v>2</v>
      </c>
      <c r="E2185" s="66"/>
      <c r="F2185" s="57"/>
    </row>
    <row r="2186" spans="1:28" s="58" customFormat="1" ht="30.9" hidden="1" outlineLevel="1" x14ac:dyDescent="0.4">
      <c r="A2186" s="54"/>
      <c r="B2186" s="48" t="s">
        <v>832</v>
      </c>
      <c r="C2186" s="49" t="s">
        <v>58</v>
      </c>
      <c r="D2186" s="55">
        <v>2</v>
      </c>
      <c r="E2186" s="51">
        <v>1.9E-2</v>
      </c>
      <c r="F2186" s="57"/>
    </row>
    <row r="2187" spans="1:28" s="33" customFormat="1" ht="30.9" collapsed="1" x14ac:dyDescent="0.35">
      <c r="A2187" s="24">
        <f>A2185+1</f>
        <v>932</v>
      </c>
      <c r="B2187" s="71" t="s">
        <v>517</v>
      </c>
      <c r="C2187" s="40" t="s">
        <v>132</v>
      </c>
      <c r="D2187" s="108">
        <v>7</v>
      </c>
      <c r="E2187" s="79" t="s">
        <v>151</v>
      </c>
      <c r="F2187" s="29"/>
      <c r="G2187" s="30"/>
      <c r="H2187" s="31"/>
      <c r="I2187" s="30"/>
      <c r="J2187" s="30"/>
      <c r="K2187" s="32"/>
      <c r="L2187" s="32"/>
      <c r="M2187" s="32"/>
      <c r="N2187" s="31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</row>
    <row r="2188" spans="1:28" s="39" customFormat="1" ht="36" hidden="1" customHeight="1" outlineLevel="1" x14ac:dyDescent="0.35">
      <c r="A2188" s="74"/>
      <c r="B2188" s="48" t="s">
        <v>518</v>
      </c>
      <c r="C2188" s="49" t="s">
        <v>14</v>
      </c>
      <c r="D2188" s="65">
        <f>7*2.76/1000*1.1</f>
        <v>2.1252000000000004E-2</v>
      </c>
      <c r="E2188" s="76"/>
      <c r="F2188" s="34"/>
      <c r="G2188" s="35"/>
      <c r="H2188" s="36"/>
      <c r="I2188" s="37"/>
      <c r="J2188" s="37"/>
      <c r="K2188" s="38"/>
      <c r="L2188" s="38"/>
      <c r="M2188" s="38"/>
      <c r="N2188" s="36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</row>
    <row r="2189" spans="1:28" s="58" customFormat="1" ht="30" hidden="1" customHeight="1" outlineLevel="1" x14ac:dyDescent="0.4">
      <c r="A2189" s="54"/>
      <c r="B2189" s="48" t="s">
        <v>521</v>
      </c>
      <c r="C2189" s="49" t="s">
        <v>58</v>
      </c>
      <c r="D2189" s="55">
        <v>2</v>
      </c>
      <c r="E2189" s="51">
        <v>1E-3</v>
      </c>
      <c r="F2189" s="57"/>
    </row>
    <row r="2190" spans="1:28" s="33" customFormat="1" ht="30.9" collapsed="1" x14ac:dyDescent="0.35">
      <c r="A2190" s="24">
        <f>A2187+1</f>
        <v>933</v>
      </c>
      <c r="B2190" s="71" t="s">
        <v>523</v>
      </c>
      <c r="C2190" s="40" t="s">
        <v>132</v>
      </c>
      <c r="D2190" s="108">
        <v>5</v>
      </c>
      <c r="E2190" s="79" t="s">
        <v>151</v>
      </c>
      <c r="F2190" s="29"/>
      <c r="G2190" s="30"/>
      <c r="H2190" s="31"/>
      <c r="I2190" s="30"/>
      <c r="J2190" s="30"/>
      <c r="K2190" s="32"/>
      <c r="L2190" s="32"/>
      <c r="M2190" s="32"/>
      <c r="N2190" s="31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</row>
    <row r="2191" spans="1:28" s="39" customFormat="1" ht="36" hidden="1" customHeight="1" outlineLevel="1" x14ac:dyDescent="0.35">
      <c r="A2191" s="74"/>
      <c r="B2191" s="48" t="s">
        <v>524</v>
      </c>
      <c r="C2191" s="49" t="s">
        <v>14</v>
      </c>
      <c r="D2191" s="65">
        <f>5*5.23/1000*1.1</f>
        <v>2.8765000000000006E-2</v>
      </c>
      <c r="E2191" s="76"/>
      <c r="F2191" s="34"/>
      <c r="G2191" s="35"/>
      <c r="H2191" s="36"/>
      <c r="I2191" s="37"/>
      <c r="J2191" s="37"/>
      <c r="K2191" s="38"/>
      <c r="L2191" s="38"/>
      <c r="M2191" s="38"/>
      <c r="N2191" s="36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</row>
    <row r="2192" spans="1:28" s="58" customFormat="1" ht="30" hidden="1" customHeight="1" outlineLevel="1" x14ac:dyDescent="0.4">
      <c r="A2192" s="54"/>
      <c r="B2192" s="48" t="s">
        <v>525</v>
      </c>
      <c r="C2192" s="49" t="s">
        <v>58</v>
      </c>
      <c r="D2192" s="55">
        <v>3</v>
      </c>
      <c r="E2192" s="51">
        <v>2E-3</v>
      </c>
      <c r="F2192" s="57"/>
    </row>
    <row r="2193" spans="1:28" s="39" customFormat="1" ht="36" hidden="1" customHeight="1" outlineLevel="1" x14ac:dyDescent="0.35">
      <c r="A2193" s="74"/>
      <c r="B2193" s="48" t="s">
        <v>833</v>
      </c>
      <c r="C2193" s="49" t="s">
        <v>58</v>
      </c>
      <c r="D2193" s="49">
        <v>1</v>
      </c>
      <c r="E2193" s="78">
        <v>1E-3</v>
      </c>
      <c r="F2193" s="34"/>
      <c r="G2193" s="35"/>
      <c r="H2193" s="36"/>
      <c r="I2193" s="37"/>
      <c r="J2193" s="37"/>
      <c r="K2193" s="38"/>
      <c r="L2193" s="38"/>
      <c r="M2193" s="38"/>
      <c r="N2193" s="36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</row>
    <row r="2194" spans="1:28" s="39" customFormat="1" ht="36" hidden="1" customHeight="1" outlineLevel="1" x14ac:dyDescent="0.35">
      <c r="A2194" s="74"/>
      <c r="B2194" s="48" t="s">
        <v>834</v>
      </c>
      <c r="C2194" s="49" t="s">
        <v>58</v>
      </c>
      <c r="D2194" s="49">
        <v>2</v>
      </c>
      <c r="E2194" s="78">
        <v>1E-3</v>
      </c>
      <c r="F2194" s="34"/>
      <c r="G2194" s="35"/>
      <c r="H2194" s="36"/>
      <c r="I2194" s="37"/>
      <c r="J2194" s="37"/>
      <c r="K2194" s="38"/>
      <c r="L2194" s="38"/>
      <c r="M2194" s="38"/>
      <c r="N2194" s="36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</row>
    <row r="2195" spans="1:28" s="33" customFormat="1" ht="30.9" collapsed="1" x14ac:dyDescent="0.35">
      <c r="A2195" s="24">
        <f>A2190+1</f>
        <v>934</v>
      </c>
      <c r="B2195" s="71" t="s">
        <v>528</v>
      </c>
      <c r="C2195" s="40" t="s">
        <v>132</v>
      </c>
      <c r="D2195" s="108">
        <v>0.4</v>
      </c>
      <c r="E2195" s="79" t="s">
        <v>151</v>
      </c>
      <c r="F2195" s="29"/>
      <c r="G2195" s="30"/>
      <c r="H2195" s="31"/>
      <c r="I2195" s="30"/>
      <c r="J2195" s="30"/>
      <c r="K2195" s="32"/>
      <c r="L2195" s="32"/>
      <c r="M2195" s="32"/>
      <c r="N2195" s="31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</row>
    <row r="2196" spans="1:28" s="39" customFormat="1" ht="36" hidden="1" customHeight="1" outlineLevel="1" x14ac:dyDescent="0.35">
      <c r="A2196" s="74"/>
      <c r="B2196" s="48" t="s">
        <v>529</v>
      </c>
      <c r="C2196" s="49" t="s">
        <v>14</v>
      </c>
      <c r="D2196" s="65">
        <f>0.4*12.28/1000*1.1</f>
        <v>5.4032000000000004E-3</v>
      </c>
      <c r="E2196" s="76"/>
      <c r="F2196" s="34"/>
      <c r="G2196" s="35"/>
      <c r="H2196" s="36"/>
      <c r="I2196" s="37"/>
      <c r="J2196" s="37"/>
      <c r="K2196" s="38"/>
      <c r="L2196" s="38"/>
      <c r="M2196" s="38"/>
      <c r="N2196" s="36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</row>
    <row r="2197" spans="1:28" s="58" customFormat="1" ht="30" hidden="1" customHeight="1" outlineLevel="1" x14ac:dyDescent="0.4">
      <c r="A2197" s="54"/>
      <c r="B2197" s="48" t="s">
        <v>530</v>
      </c>
      <c r="C2197" s="49" t="s">
        <v>58</v>
      </c>
      <c r="D2197" s="55">
        <v>2</v>
      </c>
      <c r="E2197" s="51">
        <v>5.0000000000000001E-3</v>
      </c>
      <c r="F2197" s="57"/>
    </row>
    <row r="2198" spans="1:28" s="33" customFormat="1" ht="30.9" collapsed="1" x14ac:dyDescent="0.35">
      <c r="A2198" s="24">
        <f>A2195+1</f>
        <v>935</v>
      </c>
      <c r="B2198" s="71" t="s">
        <v>533</v>
      </c>
      <c r="C2198" s="40" t="s">
        <v>132</v>
      </c>
      <c r="D2198" s="108">
        <v>17.2</v>
      </c>
      <c r="E2198" s="79" t="s">
        <v>151</v>
      </c>
      <c r="F2198" s="29"/>
      <c r="G2198" s="30"/>
      <c r="H2198" s="31"/>
      <c r="I2198" s="30"/>
      <c r="J2198" s="30"/>
      <c r="K2198" s="32"/>
      <c r="L2198" s="32"/>
      <c r="M2198" s="32"/>
      <c r="N2198" s="31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</row>
    <row r="2199" spans="1:28" s="39" customFormat="1" ht="36" hidden="1" customHeight="1" outlineLevel="1" x14ac:dyDescent="0.35">
      <c r="A2199" s="74"/>
      <c r="B2199" s="48" t="s">
        <v>534</v>
      </c>
      <c r="C2199" s="49" t="s">
        <v>14</v>
      </c>
      <c r="D2199" s="65">
        <f>17.2*15.98/1000*1.1</f>
        <v>0.30234159999999999</v>
      </c>
      <c r="E2199" s="76"/>
      <c r="F2199" s="34"/>
      <c r="G2199" s="35"/>
      <c r="H2199" s="36"/>
      <c r="I2199" s="37"/>
      <c r="J2199" s="37"/>
      <c r="K2199" s="38"/>
      <c r="L2199" s="38"/>
      <c r="M2199" s="38"/>
      <c r="N2199" s="36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</row>
    <row r="2200" spans="1:28" s="58" customFormat="1" ht="30" hidden="1" customHeight="1" outlineLevel="1" x14ac:dyDescent="0.4">
      <c r="A2200" s="54"/>
      <c r="B2200" s="48" t="s">
        <v>535</v>
      </c>
      <c r="C2200" s="49" t="s">
        <v>58</v>
      </c>
      <c r="D2200" s="55">
        <v>6</v>
      </c>
      <c r="E2200" s="51">
        <v>2.3E-2</v>
      </c>
      <c r="F2200" s="57"/>
    </row>
    <row r="2201" spans="1:28" s="58" customFormat="1" ht="30" hidden="1" customHeight="1" outlineLevel="1" x14ac:dyDescent="0.4">
      <c r="A2201" s="54"/>
      <c r="B2201" s="48" t="s">
        <v>835</v>
      </c>
      <c r="C2201" s="49" t="s">
        <v>58</v>
      </c>
      <c r="D2201" s="55">
        <v>2</v>
      </c>
      <c r="E2201" s="51">
        <v>4.0000000000000001E-3</v>
      </c>
      <c r="F2201" s="57"/>
    </row>
    <row r="2202" spans="1:28" s="39" customFormat="1" ht="36" hidden="1" customHeight="1" outlineLevel="1" x14ac:dyDescent="0.35">
      <c r="A2202" s="74"/>
      <c r="B2202" s="48" t="s">
        <v>536</v>
      </c>
      <c r="C2202" s="49" t="s">
        <v>58</v>
      </c>
      <c r="D2202" s="49">
        <v>2</v>
      </c>
      <c r="E2202" s="78">
        <v>8.9999999999999993E-3</v>
      </c>
      <c r="F2202" s="34"/>
      <c r="G2202" s="35"/>
      <c r="H2202" s="36"/>
      <c r="I2202" s="37"/>
      <c r="J2202" s="37"/>
      <c r="K2202" s="38"/>
      <c r="L2202" s="38"/>
      <c r="M2202" s="38"/>
      <c r="N2202" s="36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</row>
    <row r="2203" spans="1:28" s="39" customFormat="1" ht="36" hidden="1" customHeight="1" outlineLevel="1" x14ac:dyDescent="0.35">
      <c r="A2203" s="74"/>
      <c r="B2203" s="48" t="s">
        <v>836</v>
      </c>
      <c r="C2203" s="49" t="s">
        <v>58</v>
      </c>
      <c r="D2203" s="49">
        <v>2</v>
      </c>
      <c r="E2203" s="78">
        <v>3.0000000000000001E-3</v>
      </c>
      <c r="F2203" s="34"/>
      <c r="G2203" s="35"/>
      <c r="H2203" s="36"/>
      <c r="I2203" s="37"/>
      <c r="J2203" s="37"/>
      <c r="K2203" s="38"/>
      <c r="L2203" s="38"/>
      <c r="M2203" s="38"/>
      <c r="N2203" s="36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</row>
    <row r="2204" spans="1:28" s="39" customFormat="1" ht="36" hidden="1" customHeight="1" outlineLevel="1" x14ac:dyDescent="0.35">
      <c r="A2204" s="74"/>
      <c r="B2204" s="48" t="s">
        <v>837</v>
      </c>
      <c r="C2204" s="49" t="s">
        <v>58</v>
      </c>
      <c r="D2204" s="49">
        <v>1</v>
      </c>
      <c r="E2204" s="78">
        <v>1E-3</v>
      </c>
      <c r="F2204" s="34"/>
      <c r="G2204" s="35"/>
      <c r="H2204" s="36"/>
      <c r="I2204" s="37"/>
      <c r="J2204" s="37"/>
      <c r="K2204" s="38"/>
      <c r="L2204" s="38"/>
      <c r="M2204" s="38"/>
      <c r="N2204" s="36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</row>
    <row r="2205" spans="1:28" s="33" customFormat="1" ht="30.9" collapsed="1" x14ac:dyDescent="0.35">
      <c r="A2205" s="24">
        <f>A2198+1</f>
        <v>936</v>
      </c>
      <c r="B2205" s="71" t="s">
        <v>540</v>
      </c>
      <c r="C2205" s="40" t="s">
        <v>132</v>
      </c>
      <c r="D2205" s="108">
        <v>5.2</v>
      </c>
      <c r="E2205" s="79" t="s">
        <v>151</v>
      </c>
      <c r="F2205" s="29"/>
      <c r="G2205" s="30"/>
      <c r="H2205" s="31"/>
      <c r="I2205" s="30"/>
      <c r="J2205" s="30"/>
      <c r="K2205" s="32"/>
      <c r="L2205" s="32"/>
      <c r="M2205" s="32"/>
      <c r="N2205" s="31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</row>
    <row r="2206" spans="1:28" s="39" customFormat="1" ht="36" hidden="1" customHeight="1" outlineLevel="1" x14ac:dyDescent="0.35">
      <c r="A2206" s="74"/>
      <c r="B2206" s="48" t="s">
        <v>541</v>
      </c>
      <c r="C2206" s="49" t="s">
        <v>14</v>
      </c>
      <c r="D2206" s="65">
        <f>5.2*22.64/1000*1.1</f>
        <v>0.12950080000000003</v>
      </c>
      <c r="E2206" s="76"/>
      <c r="F2206" s="34"/>
      <c r="G2206" s="35"/>
      <c r="H2206" s="36"/>
      <c r="I2206" s="37"/>
      <c r="J2206" s="37"/>
      <c r="K2206" s="38"/>
      <c r="L2206" s="38"/>
      <c r="M2206" s="38"/>
      <c r="N2206" s="36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</row>
    <row r="2207" spans="1:28" s="39" customFormat="1" ht="36" hidden="1" customHeight="1" outlineLevel="1" x14ac:dyDescent="0.35">
      <c r="A2207" s="74"/>
      <c r="B2207" s="48" t="s">
        <v>543</v>
      </c>
      <c r="C2207" s="49" t="s">
        <v>58</v>
      </c>
      <c r="D2207" s="49">
        <v>2</v>
      </c>
      <c r="E2207" s="78">
        <v>1.2999999999999999E-2</v>
      </c>
      <c r="F2207" s="34"/>
      <c r="G2207" s="35"/>
      <c r="H2207" s="36"/>
      <c r="I2207" s="37"/>
      <c r="J2207" s="37"/>
      <c r="K2207" s="38"/>
      <c r="L2207" s="38"/>
      <c r="M2207" s="38"/>
      <c r="N2207" s="36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</row>
    <row r="2208" spans="1:28" s="39" customFormat="1" ht="36" hidden="1" customHeight="1" outlineLevel="1" x14ac:dyDescent="0.35">
      <c r="A2208" s="74"/>
      <c r="B2208" s="48" t="s">
        <v>537</v>
      </c>
      <c r="C2208" s="49" t="s">
        <v>58</v>
      </c>
      <c r="D2208" s="49">
        <v>2</v>
      </c>
      <c r="E2208" s="78">
        <v>8.0000000000000002E-3</v>
      </c>
      <c r="F2208" s="34"/>
      <c r="G2208" s="35"/>
      <c r="H2208" s="36"/>
      <c r="I2208" s="37"/>
      <c r="J2208" s="37"/>
      <c r="K2208" s="38"/>
      <c r="L2208" s="38"/>
      <c r="M2208" s="38"/>
      <c r="N2208" s="36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</row>
    <row r="2209" spans="1:28" s="39" customFormat="1" ht="36" hidden="1" customHeight="1" outlineLevel="1" x14ac:dyDescent="0.35">
      <c r="A2209" s="74"/>
      <c r="B2209" s="48" t="s">
        <v>838</v>
      </c>
      <c r="C2209" s="49" t="s">
        <v>58</v>
      </c>
      <c r="D2209" s="49">
        <v>1</v>
      </c>
      <c r="E2209" s="78">
        <v>2E-3</v>
      </c>
      <c r="F2209" s="34"/>
      <c r="G2209" s="35"/>
      <c r="H2209" s="36"/>
      <c r="I2209" s="37"/>
      <c r="J2209" s="37"/>
      <c r="K2209" s="38"/>
      <c r="L2209" s="38"/>
      <c r="M2209" s="38"/>
      <c r="N2209" s="36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</row>
    <row r="2210" spans="1:28" s="33" customFormat="1" ht="31" customHeight="1" collapsed="1" x14ac:dyDescent="0.35">
      <c r="A2210" s="24">
        <f>A2205+1</f>
        <v>937</v>
      </c>
      <c r="B2210" s="71" t="s">
        <v>839</v>
      </c>
      <c r="C2210" s="40" t="s">
        <v>132</v>
      </c>
      <c r="D2210" s="108">
        <v>2.1</v>
      </c>
      <c r="E2210" s="28"/>
      <c r="F2210" s="29"/>
      <c r="G2210" s="30"/>
      <c r="H2210" s="31"/>
      <c r="I2210" s="30"/>
      <c r="J2210" s="30"/>
      <c r="K2210" s="32"/>
      <c r="L2210" s="32"/>
      <c r="M2210" s="32"/>
      <c r="N2210" s="31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</row>
    <row r="2211" spans="1:28" s="39" customFormat="1" ht="46.3" hidden="1" outlineLevel="1" x14ac:dyDescent="0.35">
      <c r="A2211" s="74"/>
      <c r="B2211" s="48" t="s">
        <v>840</v>
      </c>
      <c r="C2211" s="49" t="s">
        <v>14</v>
      </c>
      <c r="D2211" s="65">
        <f>2.1*5.23/1000*1.1</f>
        <v>1.2081300000000001E-2</v>
      </c>
      <c r="E2211" s="76"/>
      <c r="F2211" s="34"/>
      <c r="G2211" s="35"/>
      <c r="H2211" s="36"/>
      <c r="I2211" s="37"/>
      <c r="J2211" s="37"/>
      <c r="K2211" s="38"/>
      <c r="L2211" s="38"/>
      <c r="M2211" s="38"/>
      <c r="N2211" s="36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</row>
    <row r="2212" spans="1:28" s="58" customFormat="1" ht="30" customHeight="1" collapsed="1" x14ac:dyDescent="0.4">
      <c r="A2212" s="24">
        <f>A2210+1</f>
        <v>938</v>
      </c>
      <c r="B2212" s="59" t="s">
        <v>158</v>
      </c>
      <c r="C2212" s="70" t="s">
        <v>67</v>
      </c>
      <c r="D2212" s="40" t="s">
        <v>841</v>
      </c>
      <c r="E2212" s="66"/>
      <c r="F2212" s="57"/>
    </row>
    <row r="2213" spans="1:28" s="58" customFormat="1" ht="30" hidden="1" customHeight="1" outlineLevel="1" x14ac:dyDescent="0.4">
      <c r="A2213" s="54"/>
      <c r="B2213" s="48" t="s">
        <v>209</v>
      </c>
      <c r="C2213" s="49" t="s">
        <v>58</v>
      </c>
      <c r="D2213" s="55">
        <v>4</v>
      </c>
      <c r="E2213" s="51">
        <v>4.0000000000000001E-3</v>
      </c>
      <c r="F2213" s="57"/>
    </row>
    <row r="2214" spans="1:28" s="58" customFormat="1" ht="30" hidden="1" customHeight="1" outlineLevel="1" x14ac:dyDescent="0.4">
      <c r="A2214" s="54"/>
      <c r="B2214" s="48" t="s">
        <v>210</v>
      </c>
      <c r="C2214" s="49" t="s">
        <v>58</v>
      </c>
      <c r="D2214" s="55">
        <v>2</v>
      </c>
      <c r="E2214" s="51">
        <v>4.0000000000000001E-3</v>
      </c>
      <c r="F2214" s="57"/>
    </row>
    <row r="2215" spans="1:28" s="58" customFormat="1" ht="30" hidden="1" customHeight="1" outlineLevel="1" x14ac:dyDescent="0.4">
      <c r="A2215" s="54"/>
      <c r="B2215" s="48" t="s">
        <v>552</v>
      </c>
      <c r="C2215" s="49" t="s">
        <v>58</v>
      </c>
      <c r="D2215" s="55">
        <v>6</v>
      </c>
      <c r="E2215" s="51">
        <v>3.2000000000000001E-2</v>
      </c>
      <c r="F2215" s="57"/>
    </row>
    <row r="2216" spans="1:28" s="58" customFormat="1" ht="30" hidden="1" customHeight="1" outlineLevel="1" x14ac:dyDescent="0.4">
      <c r="A2216" s="54"/>
      <c r="B2216" s="48" t="s">
        <v>553</v>
      </c>
      <c r="C2216" s="49" t="s">
        <v>58</v>
      </c>
      <c r="D2216" s="55">
        <v>2</v>
      </c>
      <c r="E2216" s="51">
        <v>1.4E-2</v>
      </c>
      <c r="F2216" s="57"/>
    </row>
    <row r="2217" spans="1:28" s="58" customFormat="1" ht="30" customHeight="1" collapsed="1" x14ac:dyDescent="0.4">
      <c r="A2217" s="24">
        <f>A2212+1</f>
        <v>939</v>
      </c>
      <c r="B2217" s="83" t="s">
        <v>842</v>
      </c>
      <c r="C2217" s="84" t="s">
        <v>327</v>
      </c>
      <c r="D2217" s="85">
        <v>4</v>
      </c>
      <c r="E2217" s="102"/>
      <c r="F2217" s="57"/>
    </row>
    <row r="2218" spans="1:28" s="58" customFormat="1" ht="30" hidden="1" customHeight="1" outlineLevel="1" x14ac:dyDescent="0.4">
      <c r="A2218" s="87"/>
      <c r="B2218" s="48" t="s">
        <v>328</v>
      </c>
      <c r="C2218" s="75" t="s">
        <v>58</v>
      </c>
      <c r="D2218" s="100">
        <v>4</v>
      </c>
      <c r="E2218" s="101">
        <v>1E-3</v>
      </c>
      <c r="F2218" s="57"/>
    </row>
    <row r="2219" spans="1:28" s="58" customFormat="1" ht="30" customHeight="1" collapsed="1" x14ac:dyDescent="0.4">
      <c r="A2219" s="24">
        <f>A2217+1</f>
        <v>940</v>
      </c>
      <c r="B2219" s="71" t="s">
        <v>240</v>
      </c>
      <c r="C2219" s="40" t="s">
        <v>58</v>
      </c>
      <c r="D2219" s="82">
        <v>8</v>
      </c>
      <c r="E2219" s="66"/>
      <c r="F2219" s="57"/>
    </row>
    <row r="2220" spans="1:28" s="58" customFormat="1" ht="30" hidden="1" customHeight="1" outlineLevel="1" x14ac:dyDescent="0.4">
      <c r="A2220" s="54"/>
      <c r="B2220" s="48" t="s">
        <v>241</v>
      </c>
      <c r="C2220" s="49" t="s">
        <v>14</v>
      </c>
      <c r="D2220" s="65">
        <f>0.6*1.88*8/1000</f>
        <v>9.023999999999999E-3</v>
      </c>
      <c r="E2220" s="51"/>
      <c r="F2220" s="57"/>
    </row>
    <row r="2221" spans="1:28" s="58" customFormat="1" ht="30" hidden="1" customHeight="1" outlineLevel="1" x14ac:dyDescent="0.4">
      <c r="A2221" s="54"/>
      <c r="B2221" s="48" t="s">
        <v>242</v>
      </c>
      <c r="C2221" s="49" t="s">
        <v>58</v>
      </c>
      <c r="D2221" s="55">
        <f>4*8</f>
        <v>32</v>
      </c>
      <c r="E2221" s="51"/>
      <c r="F2221" s="57"/>
    </row>
    <row r="2222" spans="1:28" s="58" customFormat="1" ht="30" hidden="1" customHeight="1" outlineLevel="1" x14ac:dyDescent="0.4">
      <c r="A2222" s="54"/>
      <c r="B2222" s="48" t="s">
        <v>243</v>
      </c>
      <c r="C2222" s="49" t="s">
        <v>58</v>
      </c>
      <c r="D2222" s="55">
        <f>12*8</f>
        <v>96</v>
      </c>
      <c r="E2222" s="51"/>
      <c r="F2222" s="57"/>
    </row>
    <row r="2223" spans="1:28" s="58" customFormat="1" ht="30" hidden="1" customHeight="1" outlineLevel="1" x14ac:dyDescent="0.4">
      <c r="A2223" s="54"/>
      <c r="B2223" s="48" t="s">
        <v>244</v>
      </c>
      <c r="C2223" s="49" t="s">
        <v>58</v>
      </c>
      <c r="D2223" s="55">
        <f>4*8</f>
        <v>32</v>
      </c>
      <c r="E2223" s="51"/>
      <c r="F2223" s="57"/>
    </row>
    <row r="2224" spans="1:28" s="58" customFormat="1" ht="30" hidden="1" customHeight="1" outlineLevel="1" x14ac:dyDescent="0.4">
      <c r="A2224" s="54"/>
      <c r="B2224" s="48" t="s">
        <v>245</v>
      </c>
      <c r="C2224" s="49" t="s">
        <v>58</v>
      </c>
      <c r="D2224" s="55">
        <f>8*8</f>
        <v>64</v>
      </c>
      <c r="E2224" s="51"/>
      <c r="F2224" s="57"/>
    </row>
    <row r="2225" spans="1:203" s="58" customFormat="1" ht="30" hidden="1" customHeight="1" outlineLevel="1" x14ac:dyDescent="0.4">
      <c r="A2225" s="54"/>
      <c r="B2225" s="48" t="s">
        <v>246</v>
      </c>
      <c r="C2225" s="49" t="s">
        <v>58</v>
      </c>
      <c r="D2225" s="55">
        <f>16*8</f>
        <v>128</v>
      </c>
      <c r="E2225" s="51"/>
      <c r="F2225" s="57"/>
    </row>
    <row r="2226" spans="1:203" s="58" customFormat="1" ht="30" hidden="1" customHeight="1" outlineLevel="1" x14ac:dyDescent="0.4">
      <c r="A2226" s="54"/>
      <c r="B2226" s="48" t="s">
        <v>247</v>
      </c>
      <c r="C2226" s="49" t="s">
        <v>58</v>
      </c>
      <c r="D2226" s="55">
        <f>16*8</f>
        <v>128</v>
      </c>
      <c r="E2226" s="51"/>
      <c r="F2226" s="57"/>
    </row>
    <row r="2227" spans="1:203" s="45" customFormat="1" ht="36" customHeight="1" collapsed="1" x14ac:dyDescent="0.35">
      <c r="A2227" s="24">
        <f>A2219+1</f>
        <v>941</v>
      </c>
      <c r="B2227" s="59" t="s">
        <v>72</v>
      </c>
      <c r="C2227" s="26" t="s">
        <v>29</v>
      </c>
      <c r="D2227" s="67">
        <f>((0.032*3.14*7)+(0.057*3.14*5)+(0.114*3.14*17.2)+(0.159*3.14*5.2))</f>
        <v>10.351324</v>
      </c>
      <c r="E2227" s="41"/>
      <c r="F2227" s="42"/>
      <c r="G2227" s="43"/>
      <c r="H2227" s="44"/>
      <c r="I2227" s="43"/>
      <c r="J2227" s="43"/>
      <c r="N2227" s="44"/>
      <c r="AC2227" s="46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  <c r="BP2227" s="46"/>
      <c r="BQ2227" s="46"/>
      <c r="BR2227" s="46"/>
      <c r="BS2227" s="46"/>
      <c r="BT2227" s="46"/>
      <c r="BU2227" s="46"/>
      <c r="BV2227" s="46"/>
      <c r="BW2227" s="46"/>
      <c r="BX2227" s="46"/>
      <c r="BY2227" s="46"/>
      <c r="BZ2227" s="46"/>
      <c r="CA2227" s="46"/>
      <c r="CB2227" s="46"/>
      <c r="CC2227" s="46"/>
      <c r="CD2227" s="46"/>
      <c r="CE2227" s="46"/>
      <c r="CF2227" s="46"/>
      <c r="CG2227" s="46"/>
      <c r="CH2227" s="46"/>
      <c r="CI2227" s="46"/>
      <c r="CJ2227" s="46"/>
      <c r="CK2227" s="46"/>
      <c r="CL2227" s="46"/>
      <c r="CM2227" s="46"/>
      <c r="CN2227" s="46"/>
      <c r="CO2227" s="46"/>
      <c r="CP2227" s="46"/>
      <c r="CQ2227" s="46"/>
      <c r="CR2227" s="46"/>
      <c r="CS2227" s="46"/>
      <c r="CT2227" s="46"/>
      <c r="CU2227" s="46"/>
      <c r="CV2227" s="46"/>
      <c r="CW2227" s="46"/>
      <c r="CX2227" s="46"/>
      <c r="CY2227" s="46"/>
      <c r="CZ2227" s="46"/>
      <c r="DA2227" s="46"/>
      <c r="DB2227" s="46"/>
      <c r="DC2227" s="46"/>
      <c r="DD2227" s="46"/>
      <c r="DE2227" s="46"/>
      <c r="DF2227" s="46"/>
      <c r="DG2227" s="46"/>
      <c r="DH2227" s="46"/>
      <c r="DI2227" s="46"/>
      <c r="DJ2227" s="46"/>
      <c r="DK2227" s="46"/>
      <c r="DL2227" s="46"/>
      <c r="DM2227" s="46"/>
      <c r="DN2227" s="46"/>
      <c r="DO2227" s="46"/>
      <c r="DP2227" s="46"/>
      <c r="DQ2227" s="46"/>
      <c r="DR2227" s="46"/>
      <c r="DS2227" s="46"/>
      <c r="DT2227" s="46"/>
      <c r="DU2227" s="46"/>
      <c r="DV2227" s="46"/>
      <c r="DW2227" s="46"/>
      <c r="DX2227" s="46"/>
      <c r="DY2227" s="46"/>
      <c r="DZ2227" s="46"/>
      <c r="EA2227" s="46"/>
      <c r="EB2227" s="46"/>
      <c r="EC2227" s="46"/>
      <c r="ED2227" s="46"/>
      <c r="EE2227" s="46"/>
      <c r="EF2227" s="46"/>
      <c r="EG2227" s="46"/>
      <c r="EH2227" s="46"/>
      <c r="EI2227" s="46"/>
      <c r="EJ2227" s="46"/>
      <c r="EK2227" s="46"/>
      <c r="EL2227" s="46"/>
      <c r="EM2227" s="46"/>
      <c r="EN2227" s="46"/>
      <c r="EO2227" s="46"/>
      <c r="EP2227" s="46"/>
      <c r="EQ2227" s="46"/>
      <c r="ER2227" s="46"/>
      <c r="ES2227" s="46"/>
      <c r="ET2227" s="46"/>
      <c r="EU2227" s="46"/>
      <c r="EV2227" s="46"/>
      <c r="EW2227" s="46"/>
      <c r="EX2227" s="46"/>
      <c r="EY2227" s="46"/>
      <c r="EZ2227" s="46"/>
      <c r="FA2227" s="46"/>
      <c r="FB2227" s="46"/>
      <c r="FC2227" s="46"/>
      <c r="FD2227" s="46"/>
      <c r="FE2227" s="46"/>
      <c r="FF2227" s="46"/>
      <c r="FG2227" s="46"/>
      <c r="FH2227" s="46"/>
      <c r="FI2227" s="46"/>
      <c r="FJ2227" s="46"/>
      <c r="FK2227" s="46"/>
      <c r="FL2227" s="46"/>
      <c r="FM2227" s="46"/>
      <c r="FN2227" s="46"/>
      <c r="FO2227" s="46"/>
      <c r="FP2227" s="46"/>
      <c r="FQ2227" s="46"/>
      <c r="FR2227" s="46"/>
      <c r="FS2227" s="46"/>
      <c r="FT2227" s="46"/>
      <c r="FU2227" s="46"/>
      <c r="FV2227" s="46"/>
      <c r="FW2227" s="46"/>
      <c r="FX2227" s="46"/>
      <c r="FY2227" s="46"/>
      <c r="FZ2227" s="46"/>
      <c r="GA2227" s="46"/>
      <c r="GB2227" s="46"/>
      <c r="GC2227" s="46"/>
      <c r="GD2227" s="46"/>
      <c r="GE2227" s="46"/>
      <c r="GF2227" s="46"/>
      <c r="GG2227" s="46"/>
      <c r="GH2227" s="46"/>
      <c r="GI2227" s="46"/>
      <c r="GJ2227" s="46"/>
      <c r="GK2227" s="46"/>
      <c r="GL2227" s="46"/>
      <c r="GM2227" s="46"/>
      <c r="GN2227" s="46"/>
      <c r="GO2227" s="46"/>
      <c r="GP2227" s="46"/>
      <c r="GQ2227" s="46"/>
      <c r="GR2227" s="46"/>
      <c r="GS2227" s="46"/>
      <c r="GT2227" s="46"/>
      <c r="GU2227" s="46"/>
    </row>
    <row r="2228" spans="1:203" s="58" customFormat="1" ht="30" hidden="1" customHeight="1" outlineLevel="1" x14ac:dyDescent="0.4">
      <c r="A2228" s="54"/>
      <c r="B2228" s="48" t="s">
        <v>73</v>
      </c>
      <c r="C2228" s="49" t="s">
        <v>74</v>
      </c>
      <c r="D2228" s="68">
        <f>3.31*D2227</f>
        <v>34.262882439999998</v>
      </c>
      <c r="E2228" s="69">
        <v>3.4000000000000002E-2</v>
      </c>
      <c r="F2228" s="57"/>
    </row>
    <row r="2229" spans="1:203" s="45" customFormat="1" ht="36" customHeight="1" collapsed="1" x14ac:dyDescent="0.35">
      <c r="A2229" s="24">
        <f>A2227+1</f>
        <v>942</v>
      </c>
      <c r="B2229" s="59" t="s">
        <v>75</v>
      </c>
      <c r="C2229" s="26" t="s">
        <v>29</v>
      </c>
      <c r="D2229" s="67">
        <f>((0.032*3.14*7)+(0.057*3.14*5)+(0.114*3.14*17.2)+(0.159*3.14*5.2))</f>
        <v>10.351324</v>
      </c>
      <c r="E2229" s="41"/>
      <c r="F2229" s="42"/>
      <c r="G2229" s="43"/>
      <c r="H2229" s="44"/>
      <c r="I2229" s="43"/>
      <c r="J2229" s="43"/>
      <c r="N2229" s="44"/>
      <c r="AC2229" s="46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  <c r="BP2229" s="46"/>
      <c r="BQ2229" s="46"/>
      <c r="BR2229" s="46"/>
      <c r="BS2229" s="46"/>
      <c r="BT2229" s="46"/>
      <c r="BU2229" s="46"/>
      <c r="BV2229" s="46"/>
      <c r="BW2229" s="46"/>
      <c r="BX2229" s="46"/>
      <c r="BY2229" s="46"/>
      <c r="BZ2229" s="46"/>
      <c r="CA2229" s="46"/>
      <c r="CB2229" s="46"/>
      <c r="CC2229" s="46"/>
      <c r="CD2229" s="46"/>
      <c r="CE2229" s="46"/>
      <c r="CF2229" s="46"/>
      <c r="CG2229" s="46"/>
      <c r="CH2229" s="46"/>
      <c r="CI2229" s="46"/>
      <c r="CJ2229" s="46"/>
      <c r="CK2229" s="46"/>
      <c r="CL2229" s="46"/>
      <c r="CM2229" s="46"/>
      <c r="CN2229" s="46"/>
      <c r="CO2229" s="46"/>
      <c r="CP2229" s="46"/>
      <c r="CQ2229" s="46"/>
      <c r="CR2229" s="46"/>
      <c r="CS2229" s="46"/>
      <c r="CT2229" s="46"/>
      <c r="CU2229" s="46"/>
      <c r="CV2229" s="46"/>
      <c r="CW2229" s="46"/>
      <c r="CX2229" s="46"/>
      <c r="CY2229" s="46"/>
      <c r="CZ2229" s="46"/>
      <c r="DA2229" s="46"/>
      <c r="DB2229" s="46"/>
      <c r="DC2229" s="46"/>
      <c r="DD2229" s="46"/>
      <c r="DE2229" s="46"/>
      <c r="DF2229" s="46"/>
      <c r="DG2229" s="46"/>
      <c r="DH2229" s="46"/>
      <c r="DI2229" s="46"/>
      <c r="DJ2229" s="46"/>
      <c r="DK2229" s="46"/>
      <c r="DL2229" s="46"/>
      <c r="DM2229" s="46"/>
      <c r="DN2229" s="46"/>
      <c r="DO2229" s="46"/>
      <c r="DP2229" s="46"/>
      <c r="DQ2229" s="46"/>
      <c r="DR2229" s="46"/>
      <c r="DS2229" s="46"/>
      <c r="DT2229" s="46"/>
      <c r="DU2229" s="46"/>
      <c r="DV2229" s="46"/>
      <c r="DW2229" s="46"/>
      <c r="DX2229" s="46"/>
      <c r="DY2229" s="46"/>
      <c r="DZ2229" s="46"/>
      <c r="EA2229" s="46"/>
      <c r="EB2229" s="46"/>
      <c r="EC2229" s="46"/>
      <c r="ED2229" s="46"/>
      <c r="EE2229" s="46"/>
      <c r="EF2229" s="46"/>
      <c r="EG2229" s="46"/>
      <c r="EH2229" s="46"/>
      <c r="EI2229" s="46"/>
      <c r="EJ2229" s="46"/>
      <c r="EK2229" s="46"/>
      <c r="EL2229" s="46"/>
      <c r="EM2229" s="46"/>
      <c r="EN2229" s="46"/>
      <c r="EO2229" s="46"/>
      <c r="EP2229" s="46"/>
      <c r="EQ2229" s="46"/>
      <c r="ER2229" s="46"/>
      <c r="ES2229" s="46"/>
      <c r="ET2229" s="46"/>
      <c r="EU2229" s="46"/>
      <c r="EV2229" s="46"/>
      <c r="EW2229" s="46"/>
      <c r="EX2229" s="46"/>
      <c r="EY2229" s="46"/>
      <c r="EZ2229" s="46"/>
      <c r="FA2229" s="46"/>
      <c r="FB2229" s="46"/>
      <c r="FC2229" s="46"/>
      <c r="FD2229" s="46"/>
      <c r="FE2229" s="46"/>
      <c r="FF2229" s="46"/>
      <c r="FG2229" s="46"/>
      <c r="FH2229" s="46"/>
      <c r="FI2229" s="46"/>
      <c r="FJ2229" s="46"/>
      <c r="FK2229" s="46"/>
      <c r="FL2229" s="46"/>
      <c r="FM2229" s="46"/>
      <c r="FN2229" s="46"/>
      <c r="FO2229" s="46"/>
      <c r="FP2229" s="46"/>
      <c r="FQ2229" s="46"/>
      <c r="FR2229" s="46"/>
      <c r="FS2229" s="46"/>
      <c r="FT2229" s="46"/>
      <c r="FU2229" s="46"/>
      <c r="FV2229" s="46"/>
      <c r="FW2229" s="46"/>
      <c r="FX2229" s="46"/>
      <c r="FY2229" s="46"/>
      <c r="FZ2229" s="46"/>
      <c r="GA2229" s="46"/>
      <c r="GB2229" s="46"/>
      <c r="GC2229" s="46"/>
      <c r="GD2229" s="46"/>
      <c r="GE2229" s="46"/>
      <c r="GF2229" s="46"/>
      <c r="GG2229" s="46"/>
      <c r="GH2229" s="46"/>
      <c r="GI2229" s="46"/>
      <c r="GJ2229" s="46"/>
      <c r="GK2229" s="46"/>
      <c r="GL2229" s="46"/>
      <c r="GM2229" s="46"/>
      <c r="GN2229" s="46"/>
      <c r="GO2229" s="46"/>
      <c r="GP2229" s="46"/>
      <c r="GQ2229" s="46"/>
      <c r="GR2229" s="46"/>
      <c r="GS2229" s="46"/>
      <c r="GT2229" s="46"/>
      <c r="GU2229" s="46"/>
    </row>
    <row r="2230" spans="1:203" s="45" customFormat="1" ht="36" customHeight="1" x14ac:dyDescent="0.35">
      <c r="A2230" s="24">
        <f>A2229+1</f>
        <v>943</v>
      </c>
      <c r="B2230" s="59" t="s">
        <v>76</v>
      </c>
      <c r="C2230" s="26" t="s">
        <v>29</v>
      </c>
      <c r="D2230" s="67">
        <f>((0.032*3.14*7)+(0.057*3.14*5)+(0.114*3.14*17.2)+(0.159*3.14*5.2))</f>
        <v>10.351324</v>
      </c>
      <c r="E2230" s="41"/>
      <c r="F2230" s="42"/>
      <c r="G2230" s="43"/>
      <c r="H2230" s="44"/>
      <c r="I2230" s="43"/>
      <c r="J2230" s="43"/>
      <c r="N2230" s="44"/>
      <c r="AC2230" s="46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  <c r="BP2230" s="46"/>
      <c r="BQ2230" s="46"/>
      <c r="BR2230" s="46"/>
      <c r="BS2230" s="46"/>
      <c r="BT2230" s="46"/>
      <c r="BU2230" s="46"/>
      <c r="BV2230" s="46"/>
      <c r="BW2230" s="46"/>
      <c r="BX2230" s="46"/>
      <c r="BY2230" s="46"/>
      <c r="BZ2230" s="46"/>
      <c r="CA2230" s="46"/>
      <c r="CB2230" s="46"/>
      <c r="CC2230" s="46"/>
      <c r="CD2230" s="46"/>
      <c r="CE2230" s="46"/>
      <c r="CF2230" s="46"/>
      <c r="CG2230" s="46"/>
      <c r="CH2230" s="46"/>
      <c r="CI2230" s="46"/>
      <c r="CJ2230" s="46"/>
      <c r="CK2230" s="46"/>
      <c r="CL2230" s="46"/>
      <c r="CM2230" s="46"/>
      <c r="CN2230" s="46"/>
      <c r="CO2230" s="46"/>
      <c r="CP2230" s="46"/>
      <c r="CQ2230" s="46"/>
      <c r="CR2230" s="46"/>
      <c r="CS2230" s="46"/>
      <c r="CT2230" s="46"/>
      <c r="CU2230" s="46"/>
      <c r="CV2230" s="46"/>
      <c r="CW2230" s="46"/>
      <c r="CX2230" s="46"/>
      <c r="CY2230" s="46"/>
      <c r="CZ2230" s="46"/>
      <c r="DA2230" s="46"/>
      <c r="DB2230" s="46"/>
      <c r="DC2230" s="46"/>
      <c r="DD2230" s="46"/>
      <c r="DE2230" s="46"/>
      <c r="DF2230" s="46"/>
      <c r="DG2230" s="46"/>
      <c r="DH2230" s="46"/>
      <c r="DI2230" s="46"/>
      <c r="DJ2230" s="46"/>
      <c r="DK2230" s="46"/>
      <c r="DL2230" s="46"/>
      <c r="DM2230" s="46"/>
      <c r="DN2230" s="46"/>
      <c r="DO2230" s="46"/>
      <c r="DP2230" s="46"/>
      <c r="DQ2230" s="46"/>
      <c r="DR2230" s="46"/>
      <c r="DS2230" s="46"/>
      <c r="DT2230" s="46"/>
      <c r="DU2230" s="46"/>
      <c r="DV2230" s="46"/>
      <c r="DW2230" s="46"/>
      <c r="DX2230" s="46"/>
      <c r="DY2230" s="46"/>
      <c r="DZ2230" s="46"/>
      <c r="EA2230" s="46"/>
      <c r="EB2230" s="46"/>
      <c r="EC2230" s="46"/>
      <c r="ED2230" s="46"/>
      <c r="EE2230" s="46"/>
      <c r="EF2230" s="46"/>
      <c r="EG2230" s="46"/>
      <c r="EH2230" s="46"/>
      <c r="EI2230" s="46"/>
      <c r="EJ2230" s="46"/>
      <c r="EK2230" s="46"/>
      <c r="EL2230" s="46"/>
      <c r="EM2230" s="46"/>
      <c r="EN2230" s="46"/>
      <c r="EO2230" s="46"/>
      <c r="EP2230" s="46"/>
      <c r="EQ2230" s="46"/>
      <c r="ER2230" s="46"/>
      <c r="ES2230" s="46"/>
      <c r="ET2230" s="46"/>
      <c r="EU2230" s="46"/>
      <c r="EV2230" s="46"/>
      <c r="EW2230" s="46"/>
      <c r="EX2230" s="46"/>
      <c r="EY2230" s="46"/>
      <c r="EZ2230" s="46"/>
      <c r="FA2230" s="46"/>
      <c r="FB2230" s="46"/>
      <c r="FC2230" s="46"/>
      <c r="FD2230" s="46"/>
      <c r="FE2230" s="46"/>
      <c r="FF2230" s="46"/>
      <c r="FG2230" s="46"/>
      <c r="FH2230" s="46"/>
      <c r="FI2230" s="46"/>
      <c r="FJ2230" s="46"/>
      <c r="FK2230" s="46"/>
      <c r="FL2230" s="46"/>
      <c r="FM2230" s="46"/>
      <c r="FN2230" s="46"/>
      <c r="FO2230" s="46"/>
      <c r="FP2230" s="46"/>
      <c r="FQ2230" s="46"/>
      <c r="FR2230" s="46"/>
      <c r="FS2230" s="46"/>
      <c r="FT2230" s="46"/>
      <c r="FU2230" s="46"/>
      <c r="FV2230" s="46"/>
      <c r="FW2230" s="46"/>
      <c r="FX2230" s="46"/>
      <c r="FY2230" s="46"/>
      <c r="FZ2230" s="46"/>
      <c r="GA2230" s="46"/>
      <c r="GB2230" s="46"/>
      <c r="GC2230" s="46"/>
      <c r="GD2230" s="46"/>
      <c r="GE2230" s="46"/>
      <c r="GF2230" s="46"/>
      <c r="GG2230" s="46"/>
      <c r="GH2230" s="46"/>
      <c r="GI2230" s="46"/>
      <c r="GJ2230" s="46"/>
      <c r="GK2230" s="46"/>
      <c r="GL2230" s="46"/>
      <c r="GM2230" s="46"/>
      <c r="GN2230" s="46"/>
      <c r="GO2230" s="46"/>
      <c r="GP2230" s="46"/>
      <c r="GQ2230" s="46"/>
      <c r="GR2230" s="46"/>
      <c r="GS2230" s="46"/>
      <c r="GT2230" s="46"/>
      <c r="GU2230" s="46"/>
    </row>
    <row r="2231" spans="1:203" s="58" customFormat="1" ht="30" customHeight="1" x14ac:dyDescent="0.4">
      <c r="A2231" s="24">
        <f>A2230+1</f>
        <v>944</v>
      </c>
      <c r="B2231" s="59" t="s">
        <v>77</v>
      </c>
      <c r="C2231" s="70" t="s">
        <v>29</v>
      </c>
      <c r="D2231" s="67">
        <f>((0.032*3.14*7)+(0.057*3.14*5)+(0.114*3.14*17.2)+(0.159*3.14*5.2))</f>
        <v>10.351324</v>
      </c>
      <c r="E2231" s="66"/>
      <c r="F2231" s="57"/>
    </row>
    <row r="2232" spans="1:203" s="58" customFormat="1" ht="30" hidden="1" customHeight="1" outlineLevel="1" x14ac:dyDescent="0.4">
      <c r="A2232" s="54"/>
      <c r="B2232" s="48" t="s">
        <v>78</v>
      </c>
      <c r="C2232" s="49" t="s">
        <v>74</v>
      </c>
      <c r="D2232" s="68">
        <f>D2231*0.255</f>
        <v>2.6395876199999999</v>
      </c>
      <c r="E2232" s="69">
        <v>3.0000000000000001E-3</v>
      </c>
      <c r="F2232" s="57"/>
    </row>
    <row r="2233" spans="1:203" s="58" customFormat="1" ht="30" customHeight="1" collapsed="1" x14ac:dyDescent="0.4">
      <c r="A2233" s="24">
        <f>A2231+1</f>
        <v>945</v>
      </c>
      <c r="B2233" s="59" t="s">
        <v>79</v>
      </c>
      <c r="C2233" s="70" t="s">
        <v>29</v>
      </c>
      <c r="D2233" s="67">
        <f>((0.032*3.14*7)+(0.057*3.14*5)+(0.114*3.14*17.2)+(0.159*3.14*5.2))</f>
        <v>10.351324</v>
      </c>
      <c r="E2233" s="66"/>
      <c r="F2233" s="57"/>
    </row>
    <row r="2234" spans="1:203" s="58" customFormat="1" ht="30" hidden="1" customHeight="1" outlineLevel="1" x14ac:dyDescent="0.4">
      <c r="A2234" s="54"/>
      <c r="B2234" s="48" t="s">
        <v>80</v>
      </c>
      <c r="C2234" s="49" t="s">
        <v>74</v>
      </c>
      <c r="D2234" s="68">
        <f>D2233*0.36*2</f>
        <v>7.45295328</v>
      </c>
      <c r="E2234" s="69">
        <v>8.0000000000000002E-3</v>
      </c>
      <c r="F2234" s="57"/>
    </row>
    <row r="2235" spans="1:203" s="58" customFormat="1" ht="30" customHeight="1" collapsed="1" x14ac:dyDescent="0.4">
      <c r="A2235" s="24">
        <f>A2233+1</f>
        <v>946</v>
      </c>
      <c r="B2235" s="59" t="s">
        <v>368</v>
      </c>
      <c r="C2235" s="70" t="s">
        <v>58</v>
      </c>
      <c r="D2235" s="40">
        <v>69</v>
      </c>
      <c r="E2235" s="66"/>
      <c r="F2235" s="57"/>
    </row>
    <row r="2236" spans="1:203" s="58" customFormat="1" ht="30" hidden="1" customHeight="1" outlineLevel="1" x14ac:dyDescent="0.4">
      <c r="A2236" s="54"/>
      <c r="B2236" s="48" t="s">
        <v>554</v>
      </c>
      <c r="C2236" s="49" t="s">
        <v>58</v>
      </c>
      <c r="D2236" s="75">
        <v>2</v>
      </c>
      <c r="E2236" s="51"/>
      <c r="F2236" s="57"/>
    </row>
    <row r="2237" spans="1:203" s="58" customFormat="1" ht="30" hidden="1" customHeight="1" outlineLevel="1" x14ac:dyDescent="0.4">
      <c r="A2237" s="54"/>
      <c r="B2237" s="48" t="s">
        <v>557</v>
      </c>
      <c r="C2237" s="49" t="s">
        <v>58</v>
      </c>
      <c r="D2237" s="75">
        <v>6</v>
      </c>
      <c r="E2237" s="51"/>
      <c r="F2237" s="57"/>
    </row>
    <row r="2238" spans="1:203" s="58" customFormat="1" ht="46.3" collapsed="1" x14ac:dyDescent="0.4">
      <c r="A2238" s="24">
        <f>A2235+1</f>
        <v>947</v>
      </c>
      <c r="B2238" s="59" t="s">
        <v>364</v>
      </c>
      <c r="C2238" s="70" t="s">
        <v>19</v>
      </c>
      <c r="D2238" s="67">
        <v>1.32</v>
      </c>
      <c r="E2238" s="66"/>
      <c r="F2238" s="57"/>
    </row>
    <row r="2239" spans="1:203" s="58" customFormat="1" ht="30.9" hidden="1" outlineLevel="1" x14ac:dyDescent="0.4">
      <c r="A2239" s="54"/>
      <c r="B2239" s="48" t="s">
        <v>365</v>
      </c>
      <c r="C2239" s="49" t="s">
        <v>19</v>
      </c>
      <c r="D2239" s="68">
        <v>1.32</v>
      </c>
      <c r="E2239" s="69">
        <v>1E-3</v>
      </c>
      <c r="F2239" s="57"/>
      <c r="J2239" s="58">
        <v>1.08</v>
      </c>
    </row>
    <row r="2240" spans="1:203" s="58" customFormat="1" ht="30" customHeight="1" collapsed="1" x14ac:dyDescent="0.4">
      <c r="A2240" s="24">
        <f>A2238+1</f>
        <v>948</v>
      </c>
      <c r="B2240" s="59" t="s">
        <v>366</v>
      </c>
      <c r="C2240" s="70" t="s">
        <v>29</v>
      </c>
      <c r="D2240" s="67">
        <v>25.18</v>
      </c>
      <c r="E2240" s="66"/>
      <c r="F2240" s="57"/>
    </row>
    <row r="2241" spans="1:28" s="58" customFormat="1" ht="30" hidden="1" customHeight="1" outlineLevel="1" x14ac:dyDescent="0.4">
      <c r="A2241" s="54"/>
      <c r="B2241" s="48" t="s">
        <v>367</v>
      </c>
      <c r="C2241" s="49" t="s">
        <v>29</v>
      </c>
      <c r="D2241" s="68">
        <v>25.18</v>
      </c>
      <c r="E2241" s="69"/>
      <c r="F2241" s="57"/>
      <c r="J2241" s="58">
        <v>1.22</v>
      </c>
    </row>
    <row r="2242" spans="1:28" ht="30" customHeight="1" collapsed="1" x14ac:dyDescent="0.35">
      <c r="A2242" s="24">
        <f>A2240+1</f>
        <v>949</v>
      </c>
      <c r="B2242" s="59" t="s">
        <v>560</v>
      </c>
      <c r="C2242" s="70" t="s">
        <v>561</v>
      </c>
      <c r="D2242" s="40">
        <v>6</v>
      </c>
      <c r="E2242" s="66"/>
      <c r="F2242" s="42"/>
    </row>
    <row r="2243" spans="1:28" ht="31" customHeight="1" x14ac:dyDescent="0.35">
      <c r="A2243" s="24">
        <f>A2242+1</f>
        <v>950</v>
      </c>
      <c r="B2243" s="25" t="s">
        <v>562</v>
      </c>
      <c r="C2243" s="70" t="s">
        <v>561</v>
      </c>
      <c r="D2243" s="26">
        <v>11</v>
      </c>
      <c r="E2243" s="41"/>
      <c r="F2243" s="42"/>
    </row>
    <row r="2244" spans="1:28" ht="31" customHeight="1" x14ac:dyDescent="0.35">
      <c r="A2244" s="24">
        <f t="shared" ref="A2244:A2254" si="12">A2243+1</f>
        <v>951</v>
      </c>
      <c r="B2244" s="25" t="s">
        <v>563</v>
      </c>
      <c r="C2244" s="70" t="s">
        <v>561</v>
      </c>
      <c r="D2244" s="26">
        <v>24</v>
      </c>
      <c r="E2244" s="41"/>
      <c r="F2244" s="42"/>
    </row>
    <row r="2245" spans="1:28" ht="31" customHeight="1" x14ac:dyDescent="0.35">
      <c r="A2245" s="24">
        <f t="shared" si="12"/>
        <v>952</v>
      </c>
      <c r="B2245" s="25" t="s">
        <v>564</v>
      </c>
      <c r="C2245" s="70" t="s">
        <v>561</v>
      </c>
      <c r="D2245" s="26">
        <v>8</v>
      </c>
      <c r="E2245" s="41"/>
      <c r="F2245" s="42"/>
    </row>
    <row r="2246" spans="1:28" ht="30" customHeight="1" x14ac:dyDescent="0.35">
      <c r="A2246" s="24">
        <f t="shared" si="12"/>
        <v>953</v>
      </c>
      <c r="B2246" s="59" t="s">
        <v>565</v>
      </c>
      <c r="C2246" s="70" t="s">
        <v>561</v>
      </c>
      <c r="D2246" s="40">
        <v>6</v>
      </c>
      <c r="E2246" s="66"/>
      <c r="F2246" s="42"/>
    </row>
    <row r="2247" spans="1:28" ht="31" customHeight="1" x14ac:dyDescent="0.35">
      <c r="A2247" s="24">
        <f t="shared" si="12"/>
        <v>954</v>
      </c>
      <c r="B2247" s="25" t="s">
        <v>566</v>
      </c>
      <c r="C2247" s="70" t="s">
        <v>561</v>
      </c>
      <c r="D2247" s="26">
        <v>11</v>
      </c>
      <c r="E2247" s="41"/>
      <c r="F2247" s="42"/>
    </row>
    <row r="2248" spans="1:28" ht="31" customHeight="1" x14ac:dyDescent="0.35">
      <c r="A2248" s="24">
        <f t="shared" si="12"/>
        <v>955</v>
      </c>
      <c r="B2248" s="25" t="s">
        <v>567</v>
      </c>
      <c r="C2248" s="70" t="s">
        <v>561</v>
      </c>
      <c r="D2248" s="26">
        <v>24</v>
      </c>
      <c r="E2248" s="41"/>
      <c r="F2248" s="42"/>
    </row>
    <row r="2249" spans="1:28" ht="31" customHeight="1" x14ac:dyDescent="0.35">
      <c r="A2249" s="24">
        <f t="shared" si="12"/>
        <v>956</v>
      </c>
      <c r="B2249" s="25" t="s">
        <v>568</v>
      </c>
      <c r="C2249" s="70" t="s">
        <v>561</v>
      </c>
      <c r="D2249" s="26">
        <v>8</v>
      </c>
      <c r="E2249" s="41"/>
      <c r="F2249" s="42"/>
    </row>
    <row r="2250" spans="1:28" ht="31" customHeight="1" x14ac:dyDescent="0.35">
      <c r="A2250" s="24">
        <f t="shared" si="12"/>
        <v>957</v>
      </c>
      <c r="B2250" s="25" t="s">
        <v>569</v>
      </c>
      <c r="C2250" s="89" t="s">
        <v>570</v>
      </c>
      <c r="D2250" s="26">
        <v>12</v>
      </c>
      <c r="E2250" s="41"/>
      <c r="F2250" s="42"/>
    </row>
    <row r="2251" spans="1:28" ht="31" customHeight="1" x14ac:dyDescent="0.35">
      <c r="A2251" s="24">
        <f t="shared" si="12"/>
        <v>958</v>
      </c>
      <c r="B2251" s="25" t="s">
        <v>571</v>
      </c>
      <c r="C2251" s="89" t="s">
        <v>570</v>
      </c>
      <c r="D2251" s="26">
        <v>22</v>
      </c>
      <c r="E2251" s="41"/>
      <c r="F2251" s="42"/>
    </row>
    <row r="2252" spans="1:28" ht="31" customHeight="1" x14ac:dyDescent="0.35">
      <c r="A2252" s="24">
        <f t="shared" si="12"/>
        <v>959</v>
      </c>
      <c r="B2252" s="25" t="s">
        <v>572</v>
      </c>
      <c r="C2252" s="89" t="s">
        <v>570</v>
      </c>
      <c r="D2252" s="26">
        <v>48</v>
      </c>
      <c r="E2252" s="41"/>
      <c r="F2252" s="42"/>
    </row>
    <row r="2253" spans="1:28" ht="31" customHeight="1" x14ac:dyDescent="0.35">
      <c r="A2253" s="24">
        <f t="shared" si="12"/>
        <v>960</v>
      </c>
      <c r="B2253" s="25" t="s">
        <v>573</v>
      </c>
      <c r="C2253" s="89" t="s">
        <v>570</v>
      </c>
      <c r="D2253" s="26">
        <v>16</v>
      </c>
      <c r="E2253" s="41"/>
      <c r="F2253" s="42"/>
    </row>
    <row r="2254" spans="1:28" ht="31" customHeight="1" x14ac:dyDescent="0.35">
      <c r="A2254" s="24">
        <f t="shared" si="12"/>
        <v>961</v>
      </c>
      <c r="B2254" s="25" t="s">
        <v>574</v>
      </c>
      <c r="C2254" s="89" t="s">
        <v>570</v>
      </c>
      <c r="D2254" s="26">
        <v>12</v>
      </c>
      <c r="E2254" s="41"/>
      <c r="F2254" s="42"/>
    </row>
    <row r="2255" spans="1:28" s="39" customFormat="1" ht="21" customHeight="1" x14ac:dyDescent="0.35">
      <c r="A2255" s="158" t="s">
        <v>843</v>
      </c>
      <c r="B2255" s="158"/>
      <c r="C2255" s="158"/>
      <c r="D2255" s="158"/>
      <c r="E2255" s="158"/>
      <c r="F2255" s="34"/>
      <c r="G2255" s="35"/>
      <c r="H2255" s="36"/>
      <c r="I2255" s="37"/>
      <c r="J2255" s="37"/>
      <c r="K2255" s="38"/>
      <c r="L2255" s="38"/>
      <c r="M2255" s="38"/>
      <c r="N2255" s="36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</row>
    <row r="2256" spans="1:28" s="58" customFormat="1" ht="30" customHeight="1" x14ac:dyDescent="0.4">
      <c r="A2256" s="72">
        <f>A2254+1</f>
        <v>962</v>
      </c>
      <c r="B2256" s="25" t="s">
        <v>308</v>
      </c>
      <c r="C2256" s="89" t="s">
        <v>19</v>
      </c>
      <c r="D2256" s="105">
        <f>0.7*0.5*32</f>
        <v>11.2</v>
      </c>
      <c r="E2256" s="91"/>
      <c r="F2256" s="57"/>
    </row>
    <row r="2257" spans="1:28" s="58" customFormat="1" ht="30" customHeight="1" x14ac:dyDescent="0.4">
      <c r="A2257" s="72">
        <f>A2256+1</f>
        <v>963</v>
      </c>
      <c r="B2257" s="25" t="s">
        <v>309</v>
      </c>
      <c r="C2257" s="89" t="s">
        <v>19</v>
      </c>
      <c r="D2257" s="105">
        <f>0.7*0.5*32</f>
        <v>11.2</v>
      </c>
      <c r="E2257" s="91"/>
      <c r="F2257" s="57"/>
    </row>
    <row r="2258" spans="1:28" s="58" customFormat="1" ht="30" customHeight="1" x14ac:dyDescent="0.4">
      <c r="A2258" s="24">
        <f>A2257+1</f>
        <v>964</v>
      </c>
      <c r="B2258" s="25" t="s">
        <v>310</v>
      </c>
      <c r="C2258" s="89" t="s">
        <v>19</v>
      </c>
      <c r="D2258" s="105">
        <f>0.7*0.5*32</f>
        <v>11.2</v>
      </c>
      <c r="E2258" s="91"/>
      <c r="F2258" s="57"/>
    </row>
    <row r="2259" spans="1:28" s="58" customFormat="1" ht="30" customHeight="1" x14ac:dyDescent="0.4">
      <c r="A2259" s="24">
        <f>A2258+1</f>
        <v>965</v>
      </c>
      <c r="B2259" s="59" t="s">
        <v>403</v>
      </c>
      <c r="C2259" s="70" t="s">
        <v>132</v>
      </c>
      <c r="D2259" s="40">
        <v>32</v>
      </c>
      <c r="E2259" s="66"/>
      <c r="F2259" s="57"/>
    </row>
    <row r="2260" spans="1:28" s="58" customFormat="1" ht="30" hidden="1" customHeight="1" outlineLevel="1" x14ac:dyDescent="0.4">
      <c r="A2260" s="54"/>
      <c r="B2260" s="48" t="s">
        <v>404</v>
      </c>
      <c r="C2260" s="49" t="s">
        <v>14</v>
      </c>
      <c r="D2260" s="65">
        <f>32*1.26/1000</f>
        <v>4.0320000000000002E-2</v>
      </c>
      <c r="E2260" s="51">
        <v>6.2E-2</v>
      </c>
      <c r="F2260" s="57"/>
    </row>
    <row r="2261" spans="1:28" ht="36" customHeight="1" collapsed="1" x14ac:dyDescent="0.35">
      <c r="A2261" s="24">
        <f>A2259+1</f>
        <v>966</v>
      </c>
      <c r="B2261" s="59" t="s">
        <v>405</v>
      </c>
      <c r="C2261" s="26" t="s">
        <v>58</v>
      </c>
      <c r="D2261" s="82">
        <v>4</v>
      </c>
      <c r="E2261" s="41"/>
      <c r="F2261" s="42"/>
    </row>
    <row r="2262" spans="1:28" s="58" customFormat="1" ht="30" hidden="1" customHeight="1" outlineLevel="1" x14ac:dyDescent="0.4">
      <c r="A2262" s="54"/>
      <c r="B2262" s="48" t="s">
        <v>406</v>
      </c>
      <c r="C2262" s="49" t="s">
        <v>14</v>
      </c>
      <c r="D2262" s="65">
        <f>20*1.58/1000</f>
        <v>3.1600000000000003E-2</v>
      </c>
      <c r="E2262" s="51">
        <v>3.2000000000000001E-2</v>
      </c>
      <c r="F2262" s="57"/>
    </row>
    <row r="2263" spans="1:28" s="58" customFormat="1" ht="30" customHeight="1" collapsed="1" x14ac:dyDescent="0.4">
      <c r="A2263" s="24">
        <f>A2261+1</f>
        <v>967</v>
      </c>
      <c r="B2263" s="71" t="s">
        <v>315</v>
      </c>
      <c r="C2263" s="40" t="s">
        <v>132</v>
      </c>
      <c r="D2263" s="40">
        <v>34</v>
      </c>
      <c r="E2263" s="66"/>
      <c r="F2263" s="57"/>
    </row>
    <row r="2264" spans="1:28" s="58" customFormat="1" ht="30" hidden="1" customHeight="1" outlineLevel="1" x14ac:dyDescent="0.4">
      <c r="A2264" s="87"/>
      <c r="B2264" s="48" t="s">
        <v>314</v>
      </c>
      <c r="C2264" s="75" t="s">
        <v>14</v>
      </c>
      <c r="D2264" s="65">
        <f>34*1.26/1000</f>
        <v>4.2840000000000003E-2</v>
      </c>
      <c r="E2264" s="88">
        <v>0.06</v>
      </c>
      <c r="F2264" s="57"/>
    </row>
    <row r="2265" spans="1:28" ht="36" customHeight="1" collapsed="1" x14ac:dyDescent="0.35">
      <c r="A2265" s="24">
        <f>A2263+1</f>
        <v>968</v>
      </c>
      <c r="B2265" s="59" t="s">
        <v>316</v>
      </c>
      <c r="C2265" s="26" t="s">
        <v>132</v>
      </c>
      <c r="D2265" s="82">
        <v>15</v>
      </c>
      <c r="E2265" s="41"/>
      <c r="F2265" s="42"/>
    </row>
    <row r="2266" spans="1:28" s="58" customFormat="1" ht="30" hidden="1" customHeight="1" outlineLevel="1" x14ac:dyDescent="0.4">
      <c r="A2266" s="54"/>
      <c r="B2266" s="48" t="s">
        <v>407</v>
      </c>
      <c r="C2266" s="49" t="s">
        <v>132</v>
      </c>
      <c r="D2266" s="55">
        <v>15</v>
      </c>
      <c r="E2266" s="51"/>
      <c r="F2266" s="57"/>
    </row>
    <row r="2267" spans="1:28" s="58" customFormat="1" ht="30" hidden="1" customHeight="1" outlineLevel="1" x14ac:dyDescent="0.4">
      <c r="A2267" s="54"/>
      <c r="B2267" s="48" t="s">
        <v>408</v>
      </c>
      <c r="C2267" s="49" t="s">
        <v>58</v>
      </c>
      <c r="D2267" s="55">
        <v>30</v>
      </c>
      <c r="E2267" s="51"/>
      <c r="F2267" s="57"/>
    </row>
    <row r="2268" spans="1:28" s="58" customFormat="1" ht="30" hidden="1" customHeight="1" outlineLevel="1" x14ac:dyDescent="0.4">
      <c r="A2268" s="54"/>
      <c r="B2268" s="48" t="s">
        <v>409</v>
      </c>
      <c r="C2268" s="49" t="s">
        <v>58</v>
      </c>
      <c r="D2268" s="55">
        <v>30</v>
      </c>
      <c r="E2268" s="51"/>
      <c r="F2268" s="57"/>
    </row>
    <row r="2269" spans="1:28" s="58" customFormat="1" ht="30" hidden="1" customHeight="1" outlineLevel="1" x14ac:dyDescent="0.4">
      <c r="A2269" s="54"/>
      <c r="B2269" s="48" t="s">
        <v>410</v>
      </c>
      <c r="C2269" s="49" t="s">
        <v>58</v>
      </c>
      <c r="D2269" s="55">
        <v>30</v>
      </c>
      <c r="E2269" s="51"/>
      <c r="F2269" s="57"/>
    </row>
    <row r="2270" spans="1:28" s="58" customFormat="1" ht="30" hidden="1" customHeight="1" outlineLevel="1" x14ac:dyDescent="0.4">
      <c r="A2270" s="54"/>
      <c r="B2270" s="48" t="s">
        <v>411</v>
      </c>
      <c r="C2270" s="49" t="s">
        <v>58</v>
      </c>
      <c r="D2270" s="55">
        <v>30</v>
      </c>
      <c r="E2270" s="51"/>
      <c r="F2270" s="57"/>
    </row>
    <row r="2271" spans="1:28" s="39" customFormat="1" ht="21" customHeight="1" collapsed="1" x14ac:dyDescent="0.35">
      <c r="A2271" s="158" t="s">
        <v>844</v>
      </c>
      <c r="B2271" s="158"/>
      <c r="C2271" s="158"/>
      <c r="D2271" s="158"/>
      <c r="E2271" s="158"/>
      <c r="F2271" s="34"/>
      <c r="G2271" s="35"/>
      <c r="H2271" s="36"/>
      <c r="I2271" s="37"/>
      <c r="J2271" s="37"/>
      <c r="K2271" s="38"/>
      <c r="L2271" s="38"/>
      <c r="M2271" s="38"/>
      <c r="N2271" s="36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</row>
    <row r="2272" spans="1:28" ht="31" customHeight="1" x14ac:dyDescent="0.35">
      <c r="A2272" s="24">
        <f>A2265+1</f>
        <v>969</v>
      </c>
      <c r="B2272" s="25" t="s">
        <v>652</v>
      </c>
      <c r="C2272" s="89" t="s">
        <v>58</v>
      </c>
      <c r="D2272" s="26">
        <v>8</v>
      </c>
      <c r="E2272" s="41"/>
      <c r="F2272" s="42"/>
    </row>
    <row r="2273" spans="1:203" ht="92.6" hidden="1" outlineLevel="1" x14ac:dyDescent="0.35">
      <c r="A2273" s="47"/>
      <c r="B2273" s="48" t="s">
        <v>653</v>
      </c>
      <c r="C2273" s="49" t="s">
        <v>58</v>
      </c>
      <c r="D2273" s="49">
        <v>2</v>
      </c>
      <c r="E2273" s="78"/>
      <c r="F2273" s="42"/>
    </row>
    <row r="2274" spans="1:203" s="45" customFormat="1" ht="92.6" hidden="1" outlineLevel="1" x14ac:dyDescent="0.35">
      <c r="A2274" s="47"/>
      <c r="B2274" s="48" t="s">
        <v>845</v>
      </c>
      <c r="C2274" s="49" t="s">
        <v>58</v>
      </c>
      <c r="D2274" s="49">
        <v>4</v>
      </c>
      <c r="E2274" s="78"/>
      <c r="F2274" s="42"/>
      <c r="G2274" s="43"/>
      <c r="H2274" s="44"/>
      <c r="I2274" s="43"/>
      <c r="J2274" s="43"/>
      <c r="N2274" s="44"/>
      <c r="AC2274" s="46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  <c r="BP2274" s="46"/>
      <c r="BQ2274" s="46"/>
      <c r="BR2274" s="46"/>
      <c r="BS2274" s="46"/>
      <c r="BT2274" s="46"/>
      <c r="BU2274" s="46"/>
      <c r="BV2274" s="46"/>
      <c r="BW2274" s="46"/>
      <c r="BX2274" s="46"/>
      <c r="BY2274" s="46"/>
      <c r="BZ2274" s="46"/>
      <c r="CA2274" s="46"/>
      <c r="CB2274" s="46"/>
      <c r="CC2274" s="46"/>
      <c r="CD2274" s="46"/>
      <c r="CE2274" s="46"/>
      <c r="CF2274" s="46"/>
      <c r="CG2274" s="46"/>
      <c r="CH2274" s="46"/>
      <c r="CI2274" s="46"/>
      <c r="CJ2274" s="46"/>
      <c r="CK2274" s="46"/>
      <c r="CL2274" s="46"/>
      <c r="CM2274" s="46"/>
      <c r="CN2274" s="46"/>
      <c r="CO2274" s="46"/>
      <c r="CP2274" s="46"/>
      <c r="CQ2274" s="46"/>
      <c r="CR2274" s="46"/>
      <c r="CS2274" s="46"/>
      <c r="CT2274" s="46"/>
      <c r="CU2274" s="46"/>
      <c r="CV2274" s="46"/>
      <c r="CW2274" s="46"/>
      <c r="CX2274" s="46"/>
      <c r="CY2274" s="46"/>
      <c r="CZ2274" s="46"/>
      <c r="DA2274" s="46"/>
      <c r="DB2274" s="46"/>
      <c r="DC2274" s="46"/>
      <c r="DD2274" s="46"/>
      <c r="DE2274" s="46"/>
      <c r="DF2274" s="46"/>
      <c r="DG2274" s="46"/>
      <c r="DH2274" s="46"/>
      <c r="DI2274" s="46"/>
      <c r="DJ2274" s="46"/>
      <c r="DK2274" s="46"/>
      <c r="DL2274" s="46"/>
      <c r="DM2274" s="46"/>
      <c r="DN2274" s="46"/>
      <c r="DO2274" s="46"/>
      <c r="DP2274" s="46"/>
      <c r="DQ2274" s="46"/>
      <c r="DR2274" s="46"/>
      <c r="DS2274" s="46"/>
      <c r="DT2274" s="46"/>
      <c r="DU2274" s="46"/>
      <c r="DV2274" s="46"/>
      <c r="DW2274" s="46"/>
      <c r="DX2274" s="46"/>
      <c r="DY2274" s="46"/>
      <c r="DZ2274" s="46"/>
      <c r="EA2274" s="46"/>
      <c r="EB2274" s="46"/>
      <c r="EC2274" s="46"/>
      <c r="ED2274" s="46"/>
      <c r="EE2274" s="46"/>
      <c r="EF2274" s="46"/>
      <c r="EG2274" s="46"/>
      <c r="EH2274" s="46"/>
      <c r="EI2274" s="46"/>
      <c r="EJ2274" s="46"/>
      <c r="EK2274" s="46"/>
      <c r="EL2274" s="46"/>
      <c r="EM2274" s="46"/>
      <c r="EN2274" s="46"/>
      <c r="EO2274" s="46"/>
      <c r="EP2274" s="46"/>
      <c r="EQ2274" s="46"/>
      <c r="ER2274" s="46"/>
      <c r="ES2274" s="46"/>
      <c r="ET2274" s="46"/>
      <c r="EU2274" s="46"/>
      <c r="EV2274" s="46"/>
      <c r="EW2274" s="46"/>
      <c r="EX2274" s="46"/>
      <c r="EY2274" s="46"/>
      <c r="EZ2274" s="46"/>
      <c r="FA2274" s="46"/>
      <c r="FB2274" s="46"/>
      <c r="FC2274" s="46"/>
      <c r="FD2274" s="46"/>
      <c r="FE2274" s="46"/>
      <c r="FF2274" s="46"/>
      <c r="FG2274" s="46"/>
      <c r="FH2274" s="46"/>
      <c r="FI2274" s="46"/>
      <c r="FJ2274" s="46"/>
      <c r="FK2274" s="46"/>
      <c r="FL2274" s="46"/>
      <c r="FM2274" s="46"/>
      <c r="FN2274" s="46"/>
      <c r="FO2274" s="46"/>
      <c r="FP2274" s="46"/>
      <c r="FQ2274" s="46"/>
      <c r="FR2274" s="46"/>
      <c r="FS2274" s="46"/>
      <c r="FT2274" s="46"/>
      <c r="FU2274" s="46"/>
      <c r="FV2274" s="46"/>
      <c r="FW2274" s="46"/>
      <c r="FX2274" s="46"/>
      <c r="FY2274" s="46"/>
      <c r="FZ2274" s="46"/>
      <c r="GA2274" s="46"/>
      <c r="GB2274" s="46"/>
      <c r="GC2274" s="46"/>
      <c r="GD2274" s="46"/>
      <c r="GE2274" s="46"/>
      <c r="GF2274" s="46"/>
      <c r="GG2274" s="46"/>
      <c r="GH2274" s="46"/>
      <c r="GI2274" s="46"/>
      <c r="GJ2274" s="46"/>
      <c r="GK2274" s="46"/>
      <c r="GL2274" s="46"/>
      <c r="GM2274" s="46"/>
      <c r="GN2274" s="46"/>
      <c r="GO2274" s="46"/>
      <c r="GP2274" s="46"/>
      <c r="GQ2274" s="46"/>
      <c r="GR2274" s="46"/>
      <c r="GS2274" s="46"/>
      <c r="GT2274" s="46"/>
      <c r="GU2274" s="46"/>
    </row>
    <row r="2275" spans="1:203" s="45" customFormat="1" ht="92.6" hidden="1" outlineLevel="1" x14ac:dyDescent="0.35">
      <c r="A2275" s="47"/>
      <c r="B2275" s="48" t="s">
        <v>654</v>
      </c>
      <c r="C2275" s="49" t="s">
        <v>58</v>
      </c>
      <c r="D2275" s="49">
        <v>2</v>
      </c>
      <c r="E2275" s="78"/>
      <c r="F2275" s="42"/>
      <c r="G2275" s="43"/>
      <c r="H2275" s="44"/>
      <c r="I2275" s="43"/>
      <c r="J2275" s="43"/>
      <c r="N2275" s="44"/>
      <c r="AC2275" s="46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  <c r="BP2275" s="46"/>
      <c r="BQ2275" s="46"/>
      <c r="BR2275" s="46"/>
      <c r="BS2275" s="46"/>
      <c r="BT2275" s="46"/>
      <c r="BU2275" s="46"/>
      <c r="BV2275" s="46"/>
      <c r="BW2275" s="46"/>
      <c r="BX2275" s="46"/>
      <c r="BY2275" s="46"/>
      <c r="BZ2275" s="46"/>
      <c r="CA2275" s="46"/>
      <c r="CB2275" s="46"/>
      <c r="CC2275" s="46"/>
      <c r="CD2275" s="46"/>
      <c r="CE2275" s="46"/>
      <c r="CF2275" s="46"/>
      <c r="CG2275" s="46"/>
      <c r="CH2275" s="46"/>
      <c r="CI2275" s="46"/>
      <c r="CJ2275" s="46"/>
      <c r="CK2275" s="46"/>
      <c r="CL2275" s="46"/>
      <c r="CM2275" s="46"/>
      <c r="CN2275" s="46"/>
      <c r="CO2275" s="46"/>
      <c r="CP2275" s="46"/>
      <c r="CQ2275" s="46"/>
      <c r="CR2275" s="46"/>
      <c r="CS2275" s="46"/>
      <c r="CT2275" s="46"/>
      <c r="CU2275" s="46"/>
      <c r="CV2275" s="46"/>
      <c r="CW2275" s="46"/>
      <c r="CX2275" s="46"/>
      <c r="CY2275" s="46"/>
      <c r="CZ2275" s="46"/>
      <c r="DA2275" s="46"/>
      <c r="DB2275" s="46"/>
      <c r="DC2275" s="46"/>
      <c r="DD2275" s="46"/>
      <c r="DE2275" s="46"/>
      <c r="DF2275" s="46"/>
      <c r="DG2275" s="46"/>
      <c r="DH2275" s="46"/>
      <c r="DI2275" s="46"/>
      <c r="DJ2275" s="46"/>
      <c r="DK2275" s="46"/>
      <c r="DL2275" s="46"/>
      <c r="DM2275" s="46"/>
      <c r="DN2275" s="46"/>
      <c r="DO2275" s="46"/>
      <c r="DP2275" s="46"/>
      <c r="DQ2275" s="46"/>
      <c r="DR2275" s="46"/>
      <c r="DS2275" s="46"/>
      <c r="DT2275" s="46"/>
      <c r="DU2275" s="46"/>
      <c r="DV2275" s="46"/>
      <c r="DW2275" s="46"/>
      <c r="DX2275" s="46"/>
      <c r="DY2275" s="46"/>
      <c r="DZ2275" s="46"/>
      <c r="EA2275" s="46"/>
      <c r="EB2275" s="46"/>
      <c r="EC2275" s="46"/>
      <c r="ED2275" s="46"/>
      <c r="EE2275" s="46"/>
      <c r="EF2275" s="46"/>
      <c r="EG2275" s="46"/>
      <c r="EH2275" s="46"/>
      <c r="EI2275" s="46"/>
      <c r="EJ2275" s="46"/>
      <c r="EK2275" s="46"/>
      <c r="EL2275" s="46"/>
      <c r="EM2275" s="46"/>
      <c r="EN2275" s="46"/>
      <c r="EO2275" s="46"/>
      <c r="EP2275" s="46"/>
      <c r="EQ2275" s="46"/>
      <c r="ER2275" s="46"/>
      <c r="ES2275" s="46"/>
      <c r="ET2275" s="46"/>
      <c r="EU2275" s="46"/>
      <c r="EV2275" s="46"/>
      <c r="EW2275" s="46"/>
      <c r="EX2275" s="46"/>
      <c r="EY2275" s="46"/>
      <c r="EZ2275" s="46"/>
      <c r="FA2275" s="46"/>
      <c r="FB2275" s="46"/>
      <c r="FC2275" s="46"/>
      <c r="FD2275" s="46"/>
      <c r="FE2275" s="46"/>
      <c r="FF2275" s="46"/>
      <c r="FG2275" s="46"/>
      <c r="FH2275" s="46"/>
      <c r="FI2275" s="46"/>
      <c r="FJ2275" s="46"/>
      <c r="FK2275" s="46"/>
      <c r="FL2275" s="46"/>
      <c r="FM2275" s="46"/>
      <c r="FN2275" s="46"/>
      <c r="FO2275" s="46"/>
      <c r="FP2275" s="46"/>
      <c r="FQ2275" s="46"/>
      <c r="FR2275" s="46"/>
      <c r="FS2275" s="46"/>
      <c r="FT2275" s="46"/>
      <c r="FU2275" s="46"/>
      <c r="FV2275" s="46"/>
      <c r="FW2275" s="46"/>
      <c r="FX2275" s="46"/>
      <c r="FY2275" s="46"/>
      <c r="FZ2275" s="46"/>
      <c r="GA2275" s="46"/>
      <c r="GB2275" s="46"/>
      <c r="GC2275" s="46"/>
      <c r="GD2275" s="46"/>
      <c r="GE2275" s="46"/>
      <c r="GF2275" s="46"/>
      <c r="GG2275" s="46"/>
      <c r="GH2275" s="46"/>
      <c r="GI2275" s="46"/>
      <c r="GJ2275" s="46"/>
      <c r="GK2275" s="46"/>
      <c r="GL2275" s="46"/>
      <c r="GM2275" s="46"/>
      <c r="GN2275" s="46"/>
      <c r="GO2275" s="46"/>
      <c r="GP2275" s="46"/>
      <c r="GQ2275" s="46"/>
      <c r="GR2275" s="46"/>
      <c r="GS2275" s="46"/>
      <c r="GT2275" s="46"/>
      <c r="GU2275" s="46"/>
    </row>
    <row r="2276" spans="1:203" s="45" customFormat="1" ht="31" customHeight="1" collapsed="1" x14ac:dyDescent="0.35">
      <c r="A2276" s="24">
        <f>A2272+1</f>
        <v>970</v>
      </c>
      <c r="B2276" s="25" t="s">
        <v>655</v>
      </c>
      <c r="C2276" s="89" t="s">
        <v>58</v>
      </c>
      <c r="D2276" s="26">
        <v>6</v>
      </c>
      <c r="E2276" s="41"/>
      <c r="F2276" s="42"/>
      <c r="G2276" s="43"/>
      <c r="H2276" s="44"/>
      <c r="I2276" s="43"/>
      <c r="J2276" s="43"/>
      <c r="N2276" s="44"/>
      <c r="AC2276" s="46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  <c r="BP2276" s="46"/>
      <c r="BQ2276" s="46"/>
      <c r="BR2276" s="46"/>
      <c r="BS2276" s="46"/>
      <c r="BT2276" s="46"/>
      <c r="BU2276" s="46"/>
      <c r="BV2276" s="46"/>
      <c r="BW2276" s="46"/>
      <c r="BX2276" s="46"/>
      <c r="BY2276" s="46"/>
      <c r="BZ2276" s="46"/>
      <c r="CA2276" s="46"/>
      <c r="CB2276" s="46"/>
      <c r="CC2276" s="46"/>
      <c r="CD2276" s="46"/>
      <c r="CE2276" s="46"/>
      <c r="CF2276" s="46"/>
      <c r="CG2276" s="46"/>
      <c r="CH2276" s="46"/>
      <c r="CI2276" s="46"/>
      <c r="CJ2276" s="46"/>
      <c r="CK2276" s="46"/>
      <c r="CL2276" s="46"/>
      <c r="CM2276" s="46"/>
      <c r="CN2276" s="46"/>
      <c r="CO2276" s="46"/>
      <c r="CP2276" s="46"/>
      <c r="CQ2276" s="46"/>
      <c r="CR2276" s="46"/>
      <c r="CS2276" s="46"/>
      <c r="CT2276" s="46"/>
      <c r="CU2276" s="46"/>
      <c r="CV2276" s="46"/>
      <c r="CW2276" s="46"/>
      <c r="CX2276" s="46"/>
      <c r="CY2276" s="46"/>
      <c r="CZ2276" s="46"/>
      <c r="DA2276" s="46"/>
      <c r="DB2276" s="46"/>
      <c r="DC2276" s="46"/>
      <c r="DD2276" s="46"/>
      <c r="DE2276" s="46"/>
      <c r="DF2276" s="46"/>
      <c r="DG2276" s="46"/>
      <c r="DH2276" s="46"/>
      <c r="DI2276" s="46"/>
      <c r="DJ2276" s="46"/>
      <c r="DK2276" s="46"/>
      <c r="DL2276" s="46"/>
      <c r="DM2276" s="46"/>
      <c r="DN2276" s="46"/>
      <c r="DO2276" s="46"/>
      <c r="DP2276" s="46"/>
      <c r="DQ2276" s="46"/>
      <c r="DR2276" s="46"/>
      <c r="DS2276" s="46"/>
      <c r="DT2276" s="46"/>
      <c r="DU2276" s="46"/>
      <c r="DV2276" s="46"/>
      <c r="DW2276" s="46"/>
      <c r="DX2276" s="46"/>
      <c r="DY2276" s="46"/>
      <c r="DZ2276" s="46"/>
      <c r="EA2276" s="46"/>
      <c r="EB2276" s="46"/>
      <c r="EC2276" s="46"/>
      <c r="ED2276" s="46"/>
      <c r="EE2276" s="46"/>
      <c r="EF2276" s="46"/>
      <c r="EG2276" s="46"/>
      <c r="EH2276" s="46"/>
      <c r="EI2276" s="46"/>
      <c r="EJ2276" s="46"/>
      <c r="EK2276" s="46"/>
      <c r="EL2276" s="46"/>
      <c r="EM2276" s="46"/>
      <c r="EN2276" s="46"/>
      <c r="EO2276" s="46"/>
      <c r="EP2276" s="46"/>
      <c r="EQ2276" s="46"/>
      <c r="ER2276" s="46"/>
      <c r="ES2276" s="46"/>
      <c r="ET2276" s="46"/>
      <c r="EU2276" s="46"/>
      <c r="EV2276" s="46"/>
      <c r="EW2276" s="46"/>
      <c r="EX2276" s="46"/>
      <c r="EY2276" s="46"/>
      <c r="EZ2276" s="46"/>
      <c r="FA2276" s="46"/>
      <c r="FB2276" s="46"/>
      <c r="FC2276" s="46"/>
      <c r="FD2276" s="46"/>
      <c r="FE2276" s="46"/>
      <c r="FF2276" s="46"/>
      <c r="FG2276" s="46"/>
      <c r="FH2276" s="46"/>
      <c r="FI2276" s="46"/>
      <c r="FJ2276" s="46"/>
      <c r="FK2276" s="46"/>
      <c r="FL2276" s="46"/>
      <c r="FM2276" s="46"/>
      <c r="FN2276" s="46"/>
      <c r="FO2276" s="46"/>
      <c r="FP2276" s="46"/>
      <c r="FQ2276" s="46"/>
      <c r="FR2276" s="46"/>
      <c r="FS2276" s="46"/>
      <c r="FT2276" s="46"/>
      <c r="FU2276" s="46"/>
      <c r="FV2276" s="46"/>
      <c r="FW2276" s="46"/>
      <c r="FX2276" s="46"/>
      <c r="FY2276" s="46"/>
      <c r="FZ2276" s="46"/>
      <c r="GA2276" s="46"/>
      <c r="GB2276" s="46"/>
      <c r="GC2276" s="46"/>
      <c r="GD2276" s="46"/>
      <c r="GE2276" s="46"/>
      <c r="GF2276" s="46"/>
      <c r="GG2276" s="46"/>
      <c r="GH2276" s="46"/>
      <c r="GI2276" s="46"/>
      <c r="GJ2276" s="46"/>
      <c r="GK2276" s="46"/>
      <c r="GL2276" s="46"/>
      <c r="GM2276" s="46"/>
      <c r="GN2276" s="46"/>
      <c r="GO2276" s="46"/>
      <c r="GP2276" s="46"/>
      <c r="GQ2276" s="46"/>
      <c r="GR2276" s="46"/>
      <c r="GS2276" s="46"/>
      <c r="GT2276" s="46"/>
      <c r="GU2276" s="46"/>
    </row>
    <row r="2277" spans="1:203" s="45" customFormat="1" ht="30" hidden="1" customHeight="1" outlineLevel="1" x14ac:dyDescent="0.35">
      <c r="A2277" s="47"/>
      <c r="B2277" s="48" t="s">
        <v>656</v>
      </c>
      <c r="C2277" s="49" t="s">
        <v>251</v>
      </c>
      <c r="D2277" s="49">
        <v>6</v>
      </c>
      <c r="E2277" s="78"/>
      <c r="F2277" s="42"/>
      <c r="G2277" s="43"/>
      <c r="H2277" s="44"/>
      <c r="I2277" s="43"/>
      <c r="J2277" s="43"/>
      <c r="N2277" s="44"/>
      <c r="AC2277" s="46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  <c r="BP2277" s="46"/>
      <c r="BQ2277" s="46"/>
      <c r="BR2277" s="46"/>
      <c r="BS2277" s="46"/>
      <c r="BT2277" s="46"/>
      <c r="BU2277" s="46"/>
      <c r="BV2277" s="46"/>
      <c r="BW2277" s="46"/>
      <c r="BX2277" s="46"/>
      <c r="BY2277" s="46"/>
      <c r="BZ2277" s="46"/>
      <c r="CA2277" s="46"/>
      <c r="CB2277" s="46"/>
      <c r="CC2277" s="46"/>
      <c r="CD2277" s="46"/>
      <c r="CE2277" s="46"/>
      <c r="CF2277" s="46"/>
      <c r="CG2277" s="46"/>
      <c r="CH2277" s="46"/>
      <c r="CI2277" s="46"/>
      <c r="CJ2277" s="46"/>
      <c r="CK2277" s="46"/>
      <c r="CL2277" s="46"/>
      <c r="CM2277" s="46"/>
      <c r="CN2277" s="46"/>
      <c r="CO2277" s="46"/>
      <c r="CP2277" s="46"/>
      <c r="CQ2277" s="46"/>
      <c r="CR2277" s="46"/>
      <c r="CS2277" s="46"/>
      <c r="CT2277" s="46"/>
      <c r="CU2277" s="46"/>
      <c r="CV2277" s="46"/>
      <c r="CW2277" s="46"/>
      <c r="CX2277" s="46"/>
      <c r="CY2277" s="46"/>
      <c r="CZ2277" s="46"/>
      <c r="DA2277" s="46"/>
      <c r="DB2277" s="46"/>
      <c r="DC2277" s="46"/>
      <c r="DD2277" s="46"/>
      <c r="DE2277" s="46"/>
      <c r="DF2277" s="46"/>
      <c r="DG2277" s="46"/>
      <c r="DH2277" s="46"/>
      <c r="DI2277" s="46"/>
      <c r="DJ2277" s="46"/>
      <c r="DK2277" s="46"/>
      <c r="DL2277" s="46"/>
      <c r="DM2277" s="46"/>
      <c r="DN2277" s="46"/>
      <c r="DO2277" s="46"/>
      <c r="DP2277" s="46"/>
      <c r="DQ2277" s="46"/>
      <c r="DR2277" s="46"/>
      <c r="DS2277" s="46"/>
      <c r="DT2277" s="46"/>
      <c r="DU2277" s="46"/>
      <c r="DV2277" s="46"/>
      <c r="DW2277" s="46"/>
      <c r="DX2277" s="46"/>
      <c r="DY2277" s="46"/>
      <c r="DZ2277" s="46"/>
      <c r="EA2277" s="46"/>
      <c r="EB2277" s="46"/>
      <c r="EC2277" s="46"/>
      <c r="ED2277" s="46"/>
      <c r="EE2277" s="46"/>
      <c r="EF2277" s="46"/>
      <c r="EG2277" s="46"/>
      <c r="EH2277" s="46"/>
      <c r="EI2277" s="46"/>
      <c r="EJ2277" s="46"/>
      <c r="EK2277" s="46"/>
      <c r="EL2277" s="46"/>
      <c r="EM2277" s="46"/>
      <c r="EN2277" s="46"/>
      <c r="EO2277" s="46"/>
      <c r="EP2277" s="46"/>
      <c r="EQ2277" s="46"/>
      <c r="ER2277" s="46"/>
      <c r="ES2277" s="46"/>
      <c r="ET2277" s="46"/>
      <c r="EU2277" s="46"/>
      <c r="EV2277" s="46"/>
      <c r="EW2277" s="46"/>
      <c r="EX2277" s="46"/>
      <c r="EY2277" s="46"/>
      <c r="EZ2277" s="46"/>
      <c r="FA2277" s="46"/>
      <c r="FB2277" s="46"/>
      <c r="FC2277" s="46"/>
      <c r="FD2277" s="46"/>
      <c r="FE2277" s="46"/>
      <c r="FF2277" s="46"/>
      <c r="FG2277" s="46"/>
      <c r="FH2277" s="46"/>
      <c r="FI2277" s="46"/>
      <c r="FJ2277" s="46"/>
      <c r="FK2277" s="46"/>
      <c r="FL2277" s="46"/>
      <c r="FM2277" s="46"/>
      <c r="FN2277" s="46"/>
      <c r="FO2277" s="46"/>
      <c r="FP2277" s="46"/>
      <c r="FQ2277" s="46"/>
      <c r="FR2277" s="46"/>
      <c r="FS2277" s="46"/>
      <c r="FT2277" s="46"/>
      <c r="FU2277" s="46"/>
      <c r="FV2277" s="46"/>
      <c r="FW2277" s="46"/>
      <c r="FX2277" s="46"/>
      <c r="FY2277" s="46"/>
      <c r="FZ2277" s="46"/>
      <c r="GA2277" s="46"/>
      <c r="GB2277" s="46"/>
      <c r="GC2277" s="46"/>
      <c r="GD2277" s="46"/>
      <c r="GE2277" s="46"/>
      <c r="GF2277" s="46"/>
      <c r="GG2277" s="46"/>
      <c r="GH2277" s="46"/>
      <c r="GI2277" s="46"/>
      <c r="GJ2277" s="46"/>
      <c r="GK2277" s="46"/>
      <c r="GL2277" s="46"/>
      <c r="GM2277" s="46"/>
      <c r="GN2277" s="46"/>
      <c r="GO2277" s="46"/>
      <c r="GP2277" s="46"/>
      <c r="GQ2277" s="46"/>
      <c r="GR2277" s="46"/>
      <c r="GS2277" s="46"/>
      <c r="GT2277" s="46"/>
      <c r="GU2277" s="46"/>
    </row>
    <row r="2278" spans="1:203" s="45" customFormat="1" ht="31" customHeight="1" collapsed="1" x14ac:dyDescent="0.35">
      <c r="A2278" s="24">
        <f>A2276+1</f>
        <v>971</v>
      </c>
      <c r="B2278" s="25" t="s">
        <v>577</v>
      </c>
      <c r="C2278" s="89" t="s">
        <v>578</v>
      </c>
      <c r="D2278" s="26">
        <v>2</v>
      </c>
      <c r="E2278" s="41"/>
      <c r="F2278" s="42"/>
      <c r="G2278" s="43"/>
      <c r="H2278" s="44"/>
      <c r="I2278" s="43"/>
      <c r="J2278" s="43"/>
      <c r="N2278" s="44"/>
      <c r="AC2278" s="46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  <c r="BP2278" s="46"/>
      <c r="BQ2278" s="46"/>
      <c r="BR2278" s="46"/>
      <c r="BS2278" s="46"/>
      <c r="BT2278" s="46"/>
      <c r="BU2278" s="46"/>
      <c r="BV2278" s="46"/>
      <c r="BW2278" s="46"/>
      <c r="BX2278" s="46"/>
      <c r="BY2278" s="46"/>
      <c r="BZ2278" s="46"/>
      <c r="CA2278" s="46"/>
      <c r="CB2278" s="46"/>
      <c r="CC2278" s="46"/>
      <c r="CD2278" s="46"/>
      <c r="CE2278" s="46"/>
      <c r="CF2278" s="46"/>
      <c r="CG2278" s="46"/>
      <c r="CH2278" s="46"/>
      <c r="CI2278" s="46"/>
      <c r="CJ2278" s="46"/>
      <c r="CK2278" s="46"/>
      <c r="CL2278" s="46"/>
      <c r="CM2278" s="46"/>
      <c r="CN2278" s="46"/>
      <c r="CO2278" s="46"/>
      <c r="CP2278" s="46"/>
      <c r="CQ2278" s="46"/>
      <c r="CR2278" s="46"/>
      <c r="CS2278" s="46"/>
      <c r="CT2278" s="46"/>
      <c r="CU2278" s="46"/>
      <c r="CV2278" s="46"/>
      <c r="CW2278" s="46"/>
      <c r="CX2278" s="46"/>
      <c r="CY2278" s="46"/>
      <c r="CZ2278" s="46"/>
      <c r="DA2278" s="46"/>
      <c r="DB2278" s="46"/>
      <c r="DC2278" s="46"/>
      <c r="DD2278" s="46"/>
      <c r="DE2278" s="46"/>
      <c r="DF2278" s="46"/>
      <c r="DG2278" s="46"/>
      <c r="DH2278" s="46"/>
      <c r="DI2278" s="46"/>
      <c r="DJ2278" s="46"/>
      <c r="DK2278" s="46"/>
      <c r="DL2278" s="46"/>
      <c r="DM2278" s="46"/>
      <c r="DN2278" s="46"/>
      <c r="DO2278" s="46"/>
      <c r="DP2278" s="46"/>
      <c r="DQ2278" s="46"/>
      <c r="DR2278" s="46"/>
      <c r="DS2278" s="46"/>
      <c r="DT2278" s="46"/>
      <c r="DU2278" s="46"/>
      <c r="DV2278" s="46"/>
      <c r="DW2278" s="46"/>
      <c r="DX2278" s="46"/>
      <c r="DY2278" s="46"/>
      <c r="DZ2278" s="46"/>
      <c r="EA2278" s="46"/>
      <c r="EB2278" s="46"/>
      <c r="EC2278" s="46"/>
      <c r="ED2278" s="46"/>
      <c r="EE2278" s="46"/>
      <c r="EF2278" s="46"/>
      <c r="EG2278" s="46"/>
      <c r="EH2278" s="46"/>
      <c r="EI2278" s="46"/>
      <c r="EJ2278" s="46"/>
      <c r="EK2278" s="46"/>
      <c r="EL2278" s="46"/>
      <c r="EM2278" s="46"/>
      <c r="EN2278" s="46"/>
      <c r="EO2278" s="46"/>
      <c r="EP2278" s="46"/>
      <c r="EQ2278" s="46"/>
      <c r="ER2278" s="46"/>
      <c r="ES2278" s="46"/>
      <c r="ET2278" s="46"/>
      <c r="EU2278" s="46"/>
      <c r="EV2278" s="46"/>
      <c r="EW2278" s="46"/>
      <c r="EX2278" s="46"/>
      <c r="EY2278" s="46"/>
      <c r="EZ2278" s="46"/>
      <c r="FA2278" s="46"/>
      <c r="FB2278" s="46"/>
      <c r="FC2278" s="46"/>
      <c r="FD2278" s="46"/>
      <c r="FE2278" s="46"/>
      <c r="FF2278" s="46"/>
      <c r="FG2278" s="46"/>
      <c r="FH2278" s="46"/>
      <c r="FI2278" s="46"/>
      <c r="FJ2278" s="46"/>
      <c r="FK2278" s="46"/>
      <c r="FL2278" s="46"/>
      <c r="FM2278" s="46"/>
      <c r="FN2278" s="46"/>
      <c r="FO2278" s="46"/>
      <c r="FP2278" s="46"/>
      <c r="FQ2278" s="46"/>
      <c r="FR2278" s="46"/>
      <c r="FS2278" s="46"/>
      <c r="FT2278" s="46"/>
      <c r="FU2278" s="46"/>
      <c r="FV2278" s="46"/>
      <c r="FW2278" s="46"/>
      <c r="FX2278" s="46"/>
      <c r="FY2278" s="46"/>
      <c r="FZ2278" s="46"/>
      <c r="GA2278" s="46"/>
      <c r="GB2278" s="46"/>
      <c r="GC2278" s="46"/>
      <c r="GD2278" s="46"/>
      <c r="GE2278" s="46"/>
      <c r="GF2278" s="46"/>
      <c r="GG2278" s="46"/>
      <c r="GH2278" s="46"/>
      <c r="GI2278" s="46"/>
      <c r="GJ2278" s="46"/>
      <c r="GK2278" s="46"/>
      <c r="GL2278" s="46"/>
      <c r="GM2278" s="46"/>
      <c r="GN2278" s="46"/>
      <c r="GO2278" s="46"/>
      <c r="GP2278" s="46"/>
      <c r="GQ2278" s="46"/>
      <c r="GR2278" s="46"/>
      <c r="GS2278" s="46"/>
      <c r="GT2278" s="46"/>
      <c r="GU2278" s="46"/>
    </row>
    <row r="2279" spans="1:203" s="45" customFormat="1" ht="30.9" hidden="1" outlineLevel="1" x14ac:dyDescent="0.35">
      <c r="A2279" s="47"/>
      <c r="B2279" s="48" t="s">
        <v>579</v>
      </c>
      <c r="C2279" s="49" t="s">
        <v>58</v>
      </c>
      <c r="D2279" s="49">
        <v>2</v>
      </c>
      <c r="E2279" s="78"/>
      <c r="F2279" s="42"/>
      <c r="G2279" s="43"/>
      <c r="H2279" s="44"/>
      <c r="I2279" s="43"/>
      <c r="J2279" s="43"/>
      <c r="N2279" s="44"/>
      <c r="AC2279" s="46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  <c r="BP2279" s="46"/>
      <c r="BQ2279" s="46"/>
      <c r="BR2279" s="46"/>
      <c r="BS2279" s="46"/>
      <c r="BT2279" s="46"/>
      <c r="BU2279" s="46"/>
      <c r="BV2279" s="46"/>
      <c r="BW2279" s="46"/>
      <c r="BX2279" s="46"/>
      <c r="BY2279" s="46"/>
      <c r="BZ2279" s="46"/>
      <c r="CA2279" s="46"/>
      <c r="CB2279" s="46"/>
      <c r="CC2279" s="46"/>
      <c r="CD2279" s="46"/>
      <c r="CE2279" s="46"/>
      <c r="CF2279" s="46"/>
      <c r="CG2279" s="46"/>
      <c r="CH2279" s="46"/>
      <c r="CI2279" s="46"/>
      <c r="CJ2279" s="46"/>
      <c r="CK2279" s="46"/>
      <c r="CL2279" s="46"/>
      <c r="CM2279" s="46"/>
      <c r="CN2279" s="46"/>
      <c r="CO2279" s="46"/>
      <c r="CP2279" s="46"/>
      <c r="CQ2279" s="46"/>
      <c r="CR2279" s="46"/>
      <c r="CS2279" s="46"/>
      <c r="CT2279" s="46"/>
      <c r="CU2279" s="46"/>
      <c r="CV2279" s="46"/>
      <c r="CW2279" s="46"/>
      <c r="CX2279" s="46"/>
      <c r="CY2279" s="46"/>
      <c r="CZ2279" s="46"/>
      <c r="DA2279" s="46"/>
      <c r="DB2279" s="46"/>
      <c r="DC2279" s="46"/>
      <c r="DD2279" s="46"/>
      <c r="DE2279" s="46"/>
      <c r="DF2279" s="46"/>
      <c r="DG2279" s="46"/>
      <c r="DH2279" s="46"/>
      <c r="DI2279" s="46"/>
      <c r="DJ2279" s="46"/>
      <c r="DK2279" s="46"/>
      <c r="DL2279" s="46"/>
      <c r="DM2279" s="46"/>
      <c r="DN2279" s="46"/>
      <c r="DO2279" s="46"/>
      <c r="DP2279" s="46"/>
      <c r="DQ2279" s="46"/>
      <c r="DR2279" s="46"/>
      <c r="DS2279" s="46"/>
      <c r="DT2279" s="46"/>
      <c r="DU2279" s="46"/>
      <c r="DV2279" s="46"/>
      <c r="DW2279" s="46"/>
      <c r="DX2279" s="46"/>
      <c r="DY2279" s="46"/>
      <c r="DZ2279" s="46"/>
      <c r="EA2279" s="46"/>
      <c r="EB2279" s="46"/>
      <c r="EC2279" s="46"/>
      <c r="ED2279" s="46"/>
      <c r="EE2279" s="46"/>
      <c r="EF2279" s="46"/>
      <c r="EG2279" s="46"/>
      <c r="EH2279" s="46"/>
      <c r="EI2279" s="46"/>
      <c r="EJ2279" s="46"/>
      <c r="EK2279" s="46"/>
      <c r="EL2279" s="46"/>
      <c r="EM2279" s="46"/>
      <c r="EN2279" s="46"/>
      <c r="EO2279" s="46"/>
      <c r="EP2279" s="46"/>
      <c r="EQ2279" s="46"/>
      <c r="ER2279" s="46"/>
      <c r="ES2279" s="46"/>
      <c r="ET2279" s="46"/>
      <c r="EU2279" s="46"/>
      <c r="EV2279" s="46"/>
      <c r="EW2279" s="46"/>
      <c r="EX2279" s="46"/>
      <c r="EY2279" s="46"/>
      <c r="EZ2279" s="46"/>
      <c r="FA2279" s="46"/>
      <c r="FB2279" s="46"/>
      <c r="FC2279" s="46"/>
      <c r="FD2279" s="46"/>
      <c r="FE2279" s="46"/>
      <c r="FF2279" s="46"/>
      <c r="FG2279" s="46"/>
      <c r="FH2279" s="46"/>
      <c r="FI2279" s="46"/>
      <c r="FJ2279" s="46"/>
      <c r="FK2279" s="46"/>
      <c r="FL2279" s="46"/>
      <c r="FM2279" s="46"/>
      <c r="FN2279" s="46"/>
      <c r="FO2279" s="46"/>
      <c r="FP2279" s="46"/>
      <c r="FQ2279" s="46"/>
      <c r="FR2279" s="46"/>
      <c r="FS2279" s="46"/>
      <c r="FT2279" s="46"/>
      <c r="FU2279" s="46"/>
      <c r="FV2279" s="46"/>
      <c r="FW2279" s="46"/>
      <c r="FX2279" s="46"/>
      <c r="FY2279" s="46"/>
      <c r="FZ2279" s="46"/>
      <c r="GA2279" s="46"/>
      <c r="GB2279" s="46"/>
      <c r="GC2279" s="46"/>
      <c r="GD2279" s="46"/>
      <c r="GE2279" s="46"/>
      <c r="GF2279" s="46"/>
      <c r="GG2279" s="46"/>
      <c r="GH2279" s="46"/>
      <c r="GI2279" s="46"/>
      <c r="GJ2279" s="46"/>
      <c r="GK2279" s="46"/>
      <c r="GL2279" s="46"/>
      <c r="GM2279" s="46"/>
      <c r="GN2279" s="46"/>
      <c r="GO2279" s="46"/>
      <c r="GP2279" s="46"/>
      <c r="GQ2279" s="46"/>
      <c r="GR2279" s="46"/>
      <c r="GS2279" s="46"/>
      <c r="GT2279" s="46"/>
      <c r="GU2279" s="46"/>
    </row>
    <row r="2280" spans="1:203" s="45" customFormat="1" ht="31" customHeight="1" collapsed="1" x14ac:dyDescent="0.35">
      <c r="A2280" s="24">
        <f>A2278+1</f>
        <v>972</v>
      </c>
      <c r="B2280" s="25" t="s">
        <v>580</v>
      </c>
      <c r="C2280" s="89" t="s">
        <v>58</v>
      </c>
      <c r="D2280" s="26">
        <v>1</v>
      </c>
      <c r="E2280" s="41"/>
      <c r="F2280" s="42"/>
      <c r="G2280" s="43"/>
      <c r="H2280" s="44"/>
      <c r="I2280" s="43"/>
      <c r="J2280" s="43"/>
      <c r="N2280" s="44"/>
      <c r="AC2280" s="46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  <c r="BP2280" s="46"/>
      <c r="BQ2280" s="46"/>
      <c r="BR2280" s="46"/>
      <c r="BS2280" s="46"/>
      <c r="BT2280" s="46"/>
      <c r="BU2280" s="46"/>
      <c r="BV2280" s="46"/>
      <c r="BW2280" s="46"/>
      <c r="BX2280" s="46"/>
      <c r="BY2280" s="46"/>
      <c r="BZ2280" s="46"/>
      <c r="CA2280" s="46"/>
      <c r="CB2280" s="46"/>
      <c r="CC2280" s="46"/>
      <c r="CD2280" s="46"/>
      <c r="CE2280" s="46"/>
      <c r="CF2280" s="46"/>
      <c r="CG2280" s="46"/>
      <c r="CH2280" s="46"/>
      <c r="CI2280" s="46"/>
      <c r="CJ2280" s="46"/>
      <c r="CK2280" s="46"/>
      <c r="CL2280" s="46"/>
      <c r="CM2280" s="46"/>
      <c r="CN2280" s="46"/>
      <c r="CO2280" s="46"/>
      <c r="CP2280" s="46"/>
      <c r="CQ2280" s="46"/>
      <c r="CR2280" s="46"/>
      <c r="CS2280" s="46"/>
      <c r="CT2280" s="46"/>
      <c r="CU2280" s="46"/>
      <c r="CV2280" s="46"/>
      <c r="CW2280" s="46"/>
      <c r="CX2280" s="46"/>
      <c r="CY2280" s="46"/>
      <c r="CZ2280" s="46"/>
      <c r="DA2280" s="46"/>
      <c r="DB2280" s="46"/>
      <c r="DC2280" s="46"/>
      <c r="DD2280" s="46"/>
      <c r="DE2280" s="46"/>
      <c r="DF2280" s="46"/>
      <c r="DG2280" s="46"/>
      <c r="DH2280" s="46"/>
      <c r="DI2280" s="46"/>
      <c r="DJ2280" s="46"/>
      <c r="DK2280" s="46"/>
      <c r="DL2280" s="46"/>
      <c r="DM2280" s="46"/>
      <c r="DN2280" s="46"/>
      <c r="DO2280" s="46"/>
      <c r="DP2280" s="46"/>
      <c r="DQ2280" s="46"/>
      <c r="DR2280" s="46"/>
      <c r="DS2280" s="46"/>
      <c r="DT2280" s="46"/>
      <c r="DU2280" s="46"/>
      <c r="DV2280" s="46"/>
      <c r="DW2280" s="46"/>
      <c r="DX2280" s="46"/>
      <c r="DY2280" s="46"/>
      <c r="DZ2280" s="46"/>
      <c r="EA2280" s="46"/>
      <c r="EB2280" s="46"/>
      <c r="EC2280" s="46"/>
      <c r="ED2280" s="46"/>
      <c r="EE2280" s="46"/>
      <c r="EF2280" s="46"/>
      <c r="EG2280" s="46"/>
      <c r="EH2280" s="46"/>
      <c r="EI2280" s="46"/>
      <c r="EJ2280" s="46"/>
      <c r="EK2280" s="46"/>
      <c r="EL2280" s="46"/>
      <c r="EM2280" s="46"/>
      <c r="EN2280" s="46"/>
      <c r="EO2280" s="46"/>
      <c r="EP2280" s="46"/>
      <c r="EQ2280" s="46"/>
      <c r="ER2280" s="46"/>
      <c r="ES2280" s="46"/>
      <c r="ET2280" s="46"/>
      <c r="EU2280" s="46"/>
      <c r="EV2280" s="46"/>
      <c r="EW2280" s="46"/>
      <c r="EX2280" s="46"/>
      <c r="EY2280" s="46"/>
      <c r="EZ2280" s="46"/>
      <c r="FA2280" s="46"/>
      <c r="FB2280" s="46"/>
      <c r="FC2280" s="46"/>
      <c r="FD2280" s="46"/>
      <c r="FE2280" s="46"/>
      <c r="FF2280" s="46"/>
      <c r="FG2280" s="46"/>
      <c r="FH2280" s="46"/>
      <c r="FI2280" s="46"/>
      <c r="FJ2280" s="46"/>
      <c r="FK2280" s="46"/>
      <c r="FL2280" s="46"/>
      <c r="FM2280" s="46"/>
      <c r="FN2280" s="46"/>
      <c r="FO2280" s="46"/>
      <c r="FP2280" s="46"/>
      <c r="FQ2280" s="46"/>
      <c r="FR2280" s="46"/>
      <c r="FS2280" s="46"/>
      <c r="FT2280" s="46"/>
      <c r="FU2280" s="46"/>
      <c r="FV2280" s="46"/>
      <c r="FW2280" s="46"/>
      <c r="FX2280" s="46"/>
      <c r="FY2280" s="46"/>
      <c r="FZ2280" s="46"/>
      <c r="GA2280" s="46"/>
      <c r="GB2280" s="46"/>
      <c r="GC2280" s="46"/>
      <c r="GD2280" s="46"/>
      <c r="GE2280" s="46"/>
      <c r="GF2280" s="46"/>
      <c r="GG2280" s="46"/>
      <c r="GH2280" s="46"/>
      <c r="GI2280" s="46"/>
      <c r="GJ2280" s="46"/>
      <c r="GK2280" s="46"/>
      <c r="GL2280" s="46"/>
      <c r="GM2280" s="46"/>
      <c r="GN2280" s="46"/>
      <c r="GO2280" s="46"/>
      <c r="GP2280" s="46"/>
      <c r="GQ2280" s="46"/>
      <c r="GR2280" s="46"/>
      <c r="GS2280" s="46"/>
      <c r="GT2280" s="46"/>
      <c r="GU2280" s="46"/>
    </row>
    <row r="2281" spans="1:203" s="45" customFormat="1" ht="123.45" hidden="1" outlineLevel="1" x14ac:dyDescent="0.35">
      <c r="A2281" s="47"/>
      <c r="B2281" s="48" t="s">
        <v>581</v>
      </c>
      <c r="C2281" s="49" t="s">
        <v>58</v>
      </c>
      <c r="D2281" s="49">
        <v>1</v>
      </c>
      <c r="E2281" s="78"/>
      <c r="F2281" s="42"/>
      <c r="G2281" s="43"/>
      <c r="H2281" s="44"/>
      <c r="I2281" s="43"/>
      <c r="J2281" s="43"/>
      <c r="N2281" s="44"/>
      <c r="AC2281" s="46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  <c r="BP2281" s="46"/>
      <c r="BQ2281" s="46"/>
      <c r="BR2281" s="46"/>
      <c r="BS2281" s="46"/>
      <c r="BT2281" s="46"/>
      <c r="BU2281" s="46"/>
      <c r="BV2281" s="46"/>
      <c r="BW2281" s="46"/>
      <c r="BX2281" s="46"/>
      <c r="BY2281" s="46"/>
      <c r="BZ2281" s="46"/>
      <c r="CA2281" s="46"/>
      <c r="CB2281" s="46"/>
      <c r="CC2281" s="46"/>
      <c r="CD2281" s="46"/>
      <c r="CE2281" s="46"/>
      <c r="CF2281" s="46"/>
      <c r="CG2281" s="46"/>
      <c r="CH2281" s="46"/>
      <c r="CI2281" s="46"/>
      <c r="CJ2281" s="46"/>
      <c r="CK2281" s="46"/>
      <c r="CL2281" s="46"/>
      <c r="CM2281" s="46"/>
      <c r="CN2281" s="46"/>
      <c r="CO2281" s="46"/>
      <c r="CP2281" s="46"/>
      <c r="CQ2281" s="46"/>
      <c r="CR2281" s="46"/>
      <c r="CS2281" s="46"/>
      <c r="CT2281" s="46"/>
      <c r="CU2281" s="46"/>
      <c r="CV2281" s="46"/>
      <c r="CW2281" s="46"/>
      <c r="CX2281" s="46"/>
      <c r="CY2281" s="46"/>
      <c r="CZ2281" s="46"/>
      <c r="DA2281" s="46"/>
      <c r="DB2281" s="46"/>
      <c r="DC2281" s="46"/>
      <c r="DD2281" s="46"/>
      <c r="DE2281" s="46"/>
      <c r="DF2281" s="46"/>
      <c r="DG2281" s="46"/>
      <c r="DH2281" s="46"/>
      <c r="DI2281" s="46"/>
      <c r="DJ2281" s="46"/>
      <c r="DK2281" s="46"/>
      <c r="DL2281" s="46"/>
      <c r="DM2281" s="46"/>
      <c r="DN2281" s="46"/>
      <c r="DO2281" s="46"/>
      <c r="DP2281" s="46"/>
      <c r="DQ2281" s="46"/>
      <c r="DR2281" s="46"/>
      <c r="DS2281" s="46"/>
      <c r="DT2281" s="46"/>
      <c r="DU2281" s="46"/>
      <c r="DV2281" s="46"/>
      <c r="DW2281" s="46"/>
      <c r="DX2281" s="46"/>
      <c r="DY2281" s="46"/>
      <c r="DZ2281" s="46"/>
      <c r="EA2281" s="46"/>
      <c r="EB2281" s="46"/>
      <c r="EC2281" s="46"/>
      <c r="ED2281" s="46"/>
      <c r="EE2281" s="46"/>
      <c r="EF2281" s="46"/>
      <c r="EG2281" s="46"/>
      <c r="EH2281" s="46"/>
      <c r="EI2281" s="46"/>
      <c r="EJ2281" s="46"/>
      <c r="EK2281" s="46"/>
      <c r="EL2281" s="46"/>
      <c r="EM2281" s="46"/>
      <c r="EN2281" s="46"/>
      <c r="EO2281" s="46"/>
      <c r="EP2281" s="46"/>
      <c r="EQ2281" s="46"/>
      <c r="ER2281" s="46"/>
      <c r="ES2281" s="46"/>
      <c r="ET2281" s="46"/>
      <c r="EU2281" s="46"/>
      <c r="EV2281" s="46"/>
      <c r="EW2281" s="46"/>
      <c r="EX2281" s="46"/>
      <c r="EY2281" s="46"/>
      <c r="EZ2281" s="46"/>
      <c r="FA2281" s="46"/>
      <c r="FB2281" s="46"/>
      <c r="FC2281" s="46"/>
      <c r="FD2281" s="46"/>
      <c r="FE2281" s="46"/>
      <c r="FF2281" s="46"/>
      <c r="FG2281" s="46"/>
      <c r="FH2281" s="46"/>
      <c r="FI2281" s="46"/>
      <c r="FJ2281" s="46"/>
      <c r="FK2281" s="46"/>
      <c r="FL2281" s="46"/>
      <c r="FM2281" s="46"/>
      <c r="FN2281" s="46"/>
      <c r="FO2281" s="46"/>
      <c r="FP2281" s="46"/>
      <c r="FQ2281" s="46"/>
      <c r="FR2281" s="46"/>
      <c r="FS2281" s="46"/>
      <c r="FT2281" s="46"/>
      <c r="FU2281" s="46"/>
      <c r="FV2281" s="46"/>
      <c r="FW2281" s="46"/>
      <c r="FX2281" s="46"/>
      <c r="FY2281" s="46"/>
      <c r="FZ2281" s="46"/>
      <c r="GA2281" s="46"/>
      <c r="GB2281" s="46"/>
      <c r="GC2281" s="46"/>
      <c r="GD2281" s="46"/>
      <c r="GE2281" s="46"/>
      <c r="GF2281" s="46"/>
      <c r="GG2281" s="46"/>
      <c r="GH2281" s="46"/>
      <c r="GI2281" s="46"/>
      <c r="GJ2281" s="46"/>
      <c r="GK2281" s="46"/>
      <c r="GL2281" s="46"/>
      <c r="GM2281" s="46"/>
      <c r="GN2281" s="46"/>
      <c r="GO2281" s="46"/>
      <c r="GP2281" s="46"/>
      <c r="GQ2281" s="46"/>
      <c r="GR2281" s="46"/>
      <c r="GS2281" s="46"/>
      <c r="GT2281" s="46"/>
      <c r="GU2281" s="46"/>
    </row>
    <row r="2282" spans="1:203" s="45" customFormat="1" ht="31" customHeight="1" collapsed="1" x14ac:dyDescent="0.35">
      <c r="A2282" s="24">
        <f>A2280+1</f>
        <v>973</v>
      </c>
      <c r="B2282" s="25" t="s">
        <v>846</v>
      </c>
      <c r="C2282" s="89" t="s">
        <v>58</v>
      </c>
      <c r="D2282" s="26">
        <v>4</v>
      </c>
      <c r="E2282" s="41"/>
      <c r="F2282" s="42"/>
      <c r="G2282" s="43"/>
      <c r="H2282" s="44"/>
      <c r="I2282" s="43"/>
      <c r="J2282" s="43"/>
      <c r="N2282" s="44"/>
      <c r="AC2282" s="46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  <c r="BP2282" s="46"/>
      <c r="BQ2282" s="46"/>
      <c r="BR2282" s="46"/>
      <c r="BS2282" s="46"/>
      <c r="BT2282" s="46"/>
      <c r="BU2282" s="46"/>
      <c r="BV2282" s="46"/>
      <c r="BW2282" s="46"/>
      <c r="BX2282" s="46"/>
      <c r="BY2282" s="46"/>
      <c r="BZ2282" s="46"/>
      <c r="CA2282" s="46"/>
      <c r="CB2282" s="46"/>
      <c r="CC2282" s="46"/>
      <c r="CD2282" s="46"/>
      <c r="CE2282" s="46"/>
      <c r="CF2282" s="46"/>
      <c r="CG2282" s="46"/>
      <c r="CH2282" s="46"/>
      <c r="CI2282" s="46"/>
      <c r="CJ2282" s="46"/>
      <c r="CK2282" s="46"/>
      <c r="CL2282" s="46"/>
      <c r="CM2282" s="46"/>
      <c r="CN2282" s="46"/>
      <c r="CO2282" s="46"/>
      <c r="CP2282" s="46"/>
      <c r="CQ2282" s="46"/>
      <c r="CR2282" s="46"/>
      <c r="CS2282" s="46"/>
      <c r="CT2282" s="46"/>
      <c r="CU2282" s="46"/>
      <c r="CV2282" s="46"/>
      <c r="CW2282" s="46"/>
      <c r="CX2282" s="46"/>
      <c r="CY2282" s="46"/>
      <c r="CZ2282" s="46"/>
      <c r="DA2282" s="46"/>
      <c r="DB2282" s="46"/>
      <c r="DC2282" s="46"/>
      <c r="DD2282" s="46"/>
      <c r="DE2282" s="46"/>
      <c r="DF2282" s="46"/>
      <c r="DG2282" s="46"/>
      <c r="DH2282" s="46"/>
      <c r="DI2282" s="46"/>
      <c r="DJ2282" s="46"/>
      <c r="DK2282" s="46"/>
      <c r="DL2282" s="46"/>
      <c r="DM2282" s="46"/>
      <c r="DN2282" s="46"/>
      <c r="DO2282" s="46"/>
      <c r="DP2282" s="46"/>
      <c r="DQ2282" s="46"/>
      <c r="DR2282" s="46"/>
      <c r="DS2282" s="46"/>
      <c r="DT2282" s="46"/>
      <c r="DU2282" s="46"/>
      <c r="DV2282" s="46"/>
      <c r="DW2282" s="46"/>
      <c r="DX2282" s="46"/>
      <c r="DY2282" s="46"/>
      <c r="DZ2282" s="46"/>
      <c r="EA2282" s="46"/>
      <c r="EB2282" s="46"/>
      <c r="EC2282" s="46"/>
      <c r="ED2282" s="46"/>
      <c r="EE2282" s="46"/>
      <c r="EF2282" s="46"/>
      <c r="EG2282" s="46"/>
      <c r="EH2282" s="46"/>
      <c r="EI2282" s="46"/>
      <c r="EJ2282" s="46"/>
      <c r="EK2282" s="46"/>
      <c r="EL2282" s="46"/>
      <c r="EM2282" s="46"/>
      <c r="EN2282" s="46"/>
      <c r="EO2282" s="46"/>
      <c r="EP2282" s="46"/>
      <c r="EQ2282" s="46"/>
      <c r="ER2282" s="46"/>
      <c r="ES2282" s="46"/>
      <c r="ET2282" s="46"/>
      <c r="EU2282" s="46"/>
      <c r="EV2282" s="46"/>
      <c r="EW2282" s="46"/>
      <c r="EX2282" s="46"/>
      <c r="EY2282" s="46"/>
      <c r="EZ2282" s="46"/>
      <c r="FA2282" s="46"/>
      <c r="FB2282" s="46"/>
      <c r="FC2282" s="46"/>
      <c r="FD2282" s="46"/>
      <c r="FE2282" s="46"/>
      <c r="FF2282" s="46"/>
      <c r="FG2282" s="46"/>
      <c r="FH2282" s="46"/>
      <c r="FI2282" s="46"/>
      <c r="FJ2282" s="46"/>
      <c r="FK2282" s="46"/>
      <c r="FL2282" s="46"/>
      <c r="FM2282" s="46"/>
      <c r="FN2282" s="46"/>
      <c r="FO2282" s="46"/>
      <c r="FP2282" s="46"/>
      <c r="FQ2282" s="46"/>
      <c r="FR2282" s="46"/>
      <c r="FS2282" s="46"/>
      <c r="FT2282" s="46"/>
      <c r="FU2282" s="46"/>
      <c r="FV2282" s="46"/>
      <c r="FW2282" s="46"/>
      <c r="FX2282" s="46"/>
      <c r="FY2282" s="46"/>
      <c r="FZ2282" s="46"/>
      <c r="GA2282" s="46"/>
      <c r="GB2282" s="46"/>
      <c r="GC2282" s="46"/>
      <c r="GD2282" s="46"/>
      <c r="GE2282" s="46"/>
      <c r="GF2282" s="46"/>
      <c r="GG2282" s="46"/>
      <c r="GH2282" s="46"/>
      <c r="GI2282" s="46"/>
      <c r="GJ2282" s="46"/>
      <c r="GK2282" s="46"/>
      <c r="GL2282" s="46"/>
      <c r="GM2282" s="46"/>
      <c r="GN2282" s="46"/>
      <c r="GO2282" s="46"/>
      <c r="GP2282" s="46"/>
      <c r="GQ2282" s="46"/>
      <c r="GR2282" s="46"/>
      <c r="GS2282" s="46"/>
      <c r="GT2282" s="46"/>
      <c r="GU2282" s="46"/>
    </row>
    <row r="2283" spans="1:203" s="45" customFormat="1" ht="30" hidden="1" customHeight="1" outlineLevel="1" x14ac:dyDescent="0.35">
      <c r="A2283" s="47"/>
      <c r="B2283" s="48" t="s">
        <v>847</v>
      </c>
      <c r="C2283" s="49" t="s">
        <v>58</v>
      </c>
      <c r="D2283" s="49">
        <v>4</v>
      </c>
      <c r="E2283" s="78"/>
      <c r="F2283" s="42"/>
      <c r="G2283" s="43"/>
      <c r="H2283" s="44"/>
      <c r="I2283" s="43"/>
      <c r="J2283" s="43"/>
      <c r="N2283" s="44"/>
      <c r="AC2283" s="46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  <c r="BP2283" s="46"/>
      <c r="BQ2283" s="46"/>
      <c r="BR2283" s="46"/>
      <c r="BS2283" s="46"/>
      <c r="BT2283" s="46"/>
      <c r="BU2283" s="46"/>
      <c r="BV2283" s="46"/>
      <c r="BW2283" s="46"/>
      <c r="BX2283" s="46"/>
      <c r="BY2283" s="46"/>
      <c r="BZ2283" s="46"/>
      <c r="CA2283" s="46"/>
      <c r="CB2283" s="46"/>
      <c r="CC2283" s="46"/>
      <c r="CD2283" s="46"/>
      <c r="CE2283" s="46"/>
      <c r="CF2283" s="46"/>
      <c r="CG2283" s="46"/>
      <c r="CH2283" s="46"/>
      <c r="CI2283" s="46"/>
      <c r="CJ2283" s="46"/>
      <c r="CK2283" s="46"/>
      <c r="CL2283" s="46"/>
      <c r="CM2283" s="46"/>
      <c r="CN2283" s="46"/>
      <c r="CO2283" s="46"/>
      <c r="CP2283" s="46"/>
      <c r="CQ2283" s="46"/>
      <c r="CR2283" s="46"/>
      <c r="CS2283" s="46"/>
      <c r="CT2283" s="46"/>
      <c r="CU2283" s="46"/>
      <c r="CV2283" s="46"/>
      <c r="CW2283" s="46"/>
      <c r="CX2283" s="46"/>
      <c r="CY2283" s="46"/>
      <c r="CZ2283" s="46"/>
      <c r="DA2283" s="46"/>
      <c r="DB2283" s="46"/>
      <c r="DC2283" s="46"/>
      <c r="DD2283" s="46"/>
      <c r="DE2283" s="46"/>
      <c r="DF2283" s="46"/>
      <c r="DG2283" s="46"/>
      <c r="DH2283" s="46"/>
      <c r="DI2283" s="46"/>
      <c r="DJ2283" s="46"/>
      <c r="DK2283" s="46"/>
      <c r="DL2283" s="46"/>
      <c r="DM2283" s="46"/>
      <c r="DN2283" s="46"/>
      <c r="DO2283" s="46"/>
      <c r="DP2283" s="46"/>
      <c r="DQ2283" s="46"/>
      <c r="DR2283" s="46"/>
      <c r="DS2283" s="46"/>
      <c r="DT2283" s="46"/>
      <c r="DU2283" s="46"/>
      <c r="DV2283" s="46"/>
      <c r="DW2283" s="46"/>
      <c r="DX2283" s="46"/>
      <c r="DY2283" s="46"/>
      <c r="DZ2283" s="46"/>
      <c r="EA2283" s="46"/>
      <c r="EB2283" s="46"/>
      <c r="EC2283" s="46"/>
      <c r="ED2283" s="46"/>
      <c r="EE2283" s="46"/>
      <c r="EF2283" s="46"/>
      <c r="EG2283" s="46"/>
      <c r="EH2283" s="46"/>
      <c r="EI2283" s="46"/>
      <c r="EJ2283" s="46"/>
      <c r="EK2283" s="46"/>
      <c r="EL2283" s="46"/>
      <c r="EM2283" s="46"/>
      <c r="EN2283" s="46"/>
      <c r="EO2283" s="46"/>
      <c r="EP2283" s="46"/>
      <c r="EQ2283" s="46"/>
      <c r="ER2283" s="46"/>
      <c r="ES2283" s="46"/>
      <c r="ET2283" s="46"/>
      <c r="EU2283" s="46"/>
      <c r="EV2283" s="46"/>
      <c r="EW2283" s="46"/>
      <c r="EX2283" s="46"/>
      <c r="EY2283" s="46"/>
      <c r="EZ2283" s="46"/>
      <c r="FA2283" s="46"/>
      <c r="FB2283" s="46"/>
      <c r="FC2283" s="46"/>
      <c r="FD2283" s="46"/>
      <c r="FE2283" s="46"/>
      <c r="FF2283" s="46"/>
      <c r="FG2283" s="46"/>
      <c r="FH2283" s="46"/>
      <c r="FI2283" s="46"/>
      <c r="FJ2283" s="46"/>
      <c r="FK2283" s="46"/>
      <c r="FL2283" s="46"/>
      <c r="FM2283" s="46"/>
      <c r="FN2283" s="46"/>
      <c r="FO2283" s="46"/>
      <c r="FP2283" s="46"/>
      <c r="FQ2283" s="46"/>
      <c r="FR2283" s="46"/>
      <c r="FS2283" s="46"/>
      <c r="FT2283" s="46"/>
      <c r="FU2283" s="46"/>
      <c r="FV2283" s="46"/>
      <c r="FW2283" s="46"/>
      <c r="FX2283" s="46"/>
      <c r="FY2283" s="46"/>
      <c r="FZ2283" s="46"/>
      <c r="GA2283" s="46"/>
      <c r="GB2283" s="46"/>
      <c r="GC2283" s="46"/>
      <c r="GD2283" s="46"/>
      <c r="GE2283" s="46"/>
      <c r="GF2283" s="46"/>
      <c r="GG2283" s="46"/>
      <c r="GH2283" s="46"/>
      <c r="GI2283" s="46"/>
      <c r="GJ2283" s="46"/>
      <c r="GK2283" s="46"/>
      <c r="GL2283" s="46"/>
      <c r="GM2283" s="46"/>
      <c r="GN2283" s="46"/>
      <c r="GO2283" s="46"/>
      <c r="GP2283" s="46"/>
      <c r="GQ2283" s="46"/>
      <c r="GR2283" s="46"/>
      <c r="GS2283" s="46"/>
      <c r="GT2283" s="46"/>
      <c r="GU2283" s="46"/>
    </row>
    <row r="2284" spans="1:203" s="58" customFormat="1" ht="30" customHeight="1" collapsed="1" x14ac:dyDescent="0.4">
      <c r="A2284" s="24">
        <f>A2282+1</f>
        <v>974</v>
      </c>
      <c r="B2284" s="25" t="s">
        <v>431</v>
      </c>
      <c r="C2284" s="89" t="s">
        <v>132</v>
      </c>
      <c r="D2284" s="90">
        <v>431</v>
      </c>
      <c r="E2284" s="91"/>
      <c r="F2284" s="57"/>
    </row>
    <row r="2285" spans="1:203" s="58" customFormat="1" ht="30" hidden="1" customHeight="1" outlineLevel="1" x14ac:dyDescent="0.4">
      <c r="A2285" s="87"/>
      <c r="B2285" s="48" t="s">
        <v>454</v>
      </c>
      <c r="C2285" s="75" t="s">
        <v>132</v>
      </c>
      <c r="D2285" s="74">
        <v>131</v>
      </c>
      <c r="E2285" s="88">
        <v>4.1000000000000002E-2</v>
      </c>
      <c r="F2285" s="57"/>
    </row>
    <row r="2286" spans="1:203" s="58" customFormat="1" ht="30" hidden="1" customHeight="1" outlineLevel="1" x14ac:dyDescent="0.4">
      <c r="A2286" s="87"/>
      <c r="B2286" s="48" t="s">
        <v>583</v>
      </c>
      <c r="C2286" s="75" t="s">
        <v>132</v>
      </c>
      <c r="D2286" s="74">
        <v>150</v>
      </c>
      <c r="E2286" s="88">
        <v>4.7E-2</v>
      </c>
      <c r="F2286" s="57"/>
    </row>
    <row r="2287" spans="1:203" s="58" customFormat="1" ht="30" hidden="1" customHeight="1" outlineLevel="1" x14ac:dyDescent="0.4">
      <c r="A2287" s="87"/>
      <c r="B2287" s="48" t="s">
        <v>780</v>
      </c>
      <c r="C2287" s="75" t="s">
        <v>132</v>
      </c>
      <c r="D2287" s="74">
        <v>150</v>
      </c>
      <c r="E2287" s="88">
        <v>4.7E-2</v>
      </c>
      <c r="F2287" s="57"/>
    </row>
    <row r="2288" spans="1:203" s="58" customFormat="1" ht="30" hidden="1" customHeight="1" outlineLevel="1" x14ac:dyDescent="0.4">
      <c r="A2288" s="87"/>
      <c r="B2288" s="48" t="s">
        <v>441</v>
      </c>
      <c r="C2288" s="75" t="s">
        <v>58</v>
      </c>
      <c r="D2288" s="74">
        <v>22</v>
      </c>
      <c r="E2288" s="88"/>
      <c r="F2288" s="57"/>
    </row>
    <row r="2289" spans="1:15" s="58" customFormat="1" ht="30" customHeight="1" collapsed="1" x14ac:dyDescent="0.4">
      <c r="A2289" s="24">
        <f>A2284+1</f>
        <v>975</v>
      </c>
      <c r="B2289" s="25" t="s">
        <v>316</v>
      </c>
      <c r="C2289" s="89" t="s">
        <v>132</v>
      </c>
      <c r="D2289" s="96">
        <v>20</v>
      </c>
      <c r="E2289" s="98"/>
      <c r="F2289" s="57"/>
      <c r="O2289" s="58" t="s">
        <v>442</v>
      </c>
    </row>
    <row r="2290" spans="1:15" s="58" customFormat="1" ht="30" hidden="1" customHeight="1" outlineLevel="1" x14ac:dyDescent="0.4">
      <c r="A2290" s="87"/>
      <c r="B2290" s="48" t="s">
        <v>317</v>
      </c>
      <c r="C2290" s="75" t="s">
        <v>132</v>
      </c>
      <c r="D2290" s="74">
        <v>20</v>
      </c>
      <c r="E2290" s="93"/>
      <c r="F2290" s="57"/>
    </row>
    <row r="2291" spans="1:15" s="58" customFormat="1" ht="30" customHeight="1" collapsed="1" x14ac:dyDescent="0.4">
      <c r="A2291" s="24">
        <f>A2289+1</f>
        <v>976</v>
      </c>
      <c r="B2291" s="25" t="s">
        <v>340</v>
      </c>
      <c r="C2291" s="89" t="s">
        <v>132</v>
      </c>
      <c r="D2291" s="90">
        <v>105</v>
      </c>
      <c r="E2291" s="99"/>
      <c r="F2291" s="57"/>
    </row>
    <row r="2292" spans="1:15" s="58" customFormat="1" ht="30" hidden="1" customHeight="1" outlineLevel="1" x14ac:dyDescent="0.4">
      <c r="A2292" s="87"/>
      <c r="B2292" s="48" t="s">
        <v>341</v>
      </c>
      <c r="C2292" s="75" t="s">
        <v>14</v>
      </c>
      <c r="D2292" s="77">
        <f>105*1.66/1000*1.1</f>
        <v>0.19172999999999998</v>
      </c>
      <c r="E2292" s="88">
        <v>0.192</v>
      </c>
      <c r="F2292" s="57"/>
    </row>
    <row r="2293" spans="1:15" s="58" customFormat="1" ht="30" customHeight="1" collapsed="1" x14ac:dyDescent="0.4">
      <c r="A2293" s="24">
        <f>A2291+1</f>
        <v>977</v>
      </c>
      <c r="B2293" s="25" t="s">
        <v>284</v>
      </c>
      <c r="C2293" s="89" t="s">
        <v>132</v>
      </c>
      <c r="D2293" s="90">
        <v>32</v>
      </c>
      <c r="E2293" s="91"/>
      <c r="F2293" s="57"/>
    </row>
    <row r="2294" spans="1:15" s="58" customFormat="1" ht="30" hidden="1" customHeight="1" outlineLevel="1" x14ac:dyDescent="0.4">
      <c r="A2294" s="87"/>
      <c r="B2294" s="48" t="s">
        <v>342</v>
      </c>
      <c r="C2294" s="75" t="s">
        <v>132</v>
      </c>
      <c r="D2294" s="74">
        <v>29</v>
      </c>
      <c r="E2294" s="88"/>
      <c r="F2294" s="57"/>
    </row>
    <row r="2295" spans="1:15" s="58" customFormat="1" ht="30" hidden="1" customHeight="1" outlineLevel="1" x14ac:dyDescent="0.4">
      <c r="A2295" s="87"/>
      <c r="B2295" s="48" t="s">
        <v>285</v>
      </c>
      <c r="C2295" s="75" t="s">
        <v>132</v>
      </c>
      <c r="D2295" s="74">
        <v>3</v>
      </c>
      <c r="E2295" s="88"/>
      <c r="F2295" s="57"/>
    </row>
    <row r="2296" spans="1:15" s="58" customFormat="1" ht="30" hidden="1" customHeight="1" outlineLevel="1" x14ac:dyDescent="0.4">
      <c r="A2296" s="87"/>
      <c r="B2296" s="48" t="s">
        <v>343</v>
      </c>
      <c r="C2296" s="75" t="s">
        <v>132</v>
      </c>
      <c r="D2296" s="74">
        <v>18</v>
      </c>
      <c r="E2296" s="88"/>
      <c r="F2296" s="57"/>
    </row>
    <row r="2297" spans="1:15" s="58" customFormat="1" ht="30" hidden="1" customHeight="1" outlineLevel="1" x14ac:dyDescent="0.4">
      <c r="A2297" s="87"/>
      <c r="B2297" s="48" t="s">
        <v>348</v>
      </c>
      <c r="C2297" s="75" t="s">
        <v>349</v>
      </c>
      <c r="D2297" s="74">
        <v>1</v>
      </c>
      <c r="E2297" s="88"/>
      <c r="F2297" s="57"/>
    </row>
    <row r="2298" spans="1:15" s="58" customFormat="1" ht="30" customHeight="1" collapsed="1" x14ac:dyDescent="0.4">
      <c r="A2298" s="24">
        <f>A2293+1</f>
        <v>978</v>
      </c>
      <c r="B2298" s="25" t="s">
        <v>588</v>
      </c>
      <c r="C2298" s="89" t="s">
        <v>58</v>
      </c>
      <c r="D2298" s="90">
        <v>1</v>
      </c>
      <c r="E2298" s="99"/>
      <c r="F2298" s="57"/>
    </row>
    <row r="2299" spans="1:15" s="58" customFormat="1" ht="39" hidden="1" customHeight="1" outlineLevel="1" x14ac:dyDescent="0.4">
      <c r="A2299" s="87"/>
      <c r="B2299" s="48" t="s">
        <v>848</v>
      </c>
      <c r="C2299" s="75" t="s">
        <v>58</v>
      </c>
      <c r="D2299" s="74">
        <v>1</v>
      </c>
      <c r="E2299" s="88"/>
      <c r="F2299" s="57"/>
    </row>
    <row r="2300" spans="1:15" ht="31" customHeight="1" collapsed="1" x14ac:dyDescent="0.35">
      <c r="A2300" s="24">
        <f>A2298+1</f>
        <v>979</v>
      </c>
      <c r="B2300" s="25" t="s">
        <v>592</v>
      </c>
      <c r="C2300" s="89" t="s">
        <v>58</v>
      </c>
      <c r="D2300" s="26">
        <v>2</v>
      </c>
      <c r="E2300" s="41"/>
      <c r="F2300" s="42"/>
    </row>
    <row r="2301" spans="1:15" ht="30" hidden="1" customHeight="1" outlineLevel="1" x14ac:dyDescent="0.35">
      <c r="A2301" s="47"/>
      <c r="B2301" s="48" t="s">
        <v>594</v>
      </c>
      <c r="C2301" s="49" t="s">
        <v>58</v>
      </c>
      <c r="D2301" s="49">
        <v>2</v>
      </c>
      <c r="E2301" s="78"/>
      <c r="F2301" s="42"/>
    </row>
    <row r="2302" spans="1:15" ht="30" hidden="1" customHeight="1" outlineLevel="1" x14ac:dyDescent="0.35">
      <c r="A2302" s="47"/>
      <c r="B2302" s="48" t="s">
        <v>593</v>
      </c>
      <c r="C2302" s="49" t="s">
        <v>58</v>
      </c>
      <c r="D2302" s="49">
        <v>5</v>
      </c>
      <c r="E2302" s="78"/>
      <c r="F2302" s="42"/>
    </row>
    <row r="2303" spans="1:15" s="58" customFormat="1" ht="30" customHeight="1" collapsed="1" x14ac:dyDescent="0.4">
      <c r="A2303" s="24">
        <f>A2300+1</f>
        <v>980</v>
      </c>
      <c r="B2303" s="71" t="s">
        <v>315</v>
      </c>
      <c r="C2303" s="40" t="s">
        <v>132</v>
      </c>
      <c r="D2303" s="82">
        <v>4</v>
      </c>
      <c r="E2303" s="66"/>
      <c r="F2303" s="57"/>
    </row>
    <row r="2304" spans="1:15" s="58" customFormat="1" ht="30" hidden="1" customHeight="1" outlineLevel="1" x14ac:dyDescent="0.4">
      <c r="A2304" s="87"/>
      <c r="B2304" s="48" t="s">
        <v>314</v>
      </c>
      <c r="C2304" s="75" t="s">
        <v>14</v>
      </c>
      <c r="D2304" s="65">
        <f>4*1.26/1000</f>
        <v>5.0400000000000002E-3</v>
      </c>
      <c r="E2304" s="88">
        <v>5.0000000000000001E-3</v>
      </c>
      <c r="F2304" s="57"/>
    </row>
    <row r="2305" spans="1:28" s="39" customFormat="1" ht="30" customHeight="1" collapsed="1" x14ac:dyDescent="0.35">
      <c r="A2305" s="153" t="s">
        <v>849</v>
      </c>
      <c r="B2305" s="153"/>
      <c r="C2305" s="153"/>
      <c r="D2305" s="153"/>
      <c r="E2305" s="153"/>
      <c r="F2305" s="34"/>
      <c r="G2305" s="35"/>
      <c r="H2305" s="36"/>
      <c r="I2305" s="37"/>
      <c r="J2305" s="37"/>
      <c r="K2305" s="38"/>
      <c r="L2305" s="38"/>
      <c r="M2305" s="38"/>
      <c r="N2305" s="36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</row>
    <row r="2306" spans="1:28" s="39" customFormat="1" ht="21" customHeight="1" x14ac:dyDescent="0.35">
      <c r="A2306" s="158" t="s">
        <v>850</v>
      </c>
      <c r="B2306" s="158"/>
      <c r="C2306" s="158"/>
      <c r="D2306" s="158"/>
      <c r="E2306" s="158"/>
      <c r="F2306" s="34"/>
      <c r="G2306" s="35"/>
      <c r="H2306" s="36"/>
      <c r="I2306" s="37"/>
      <c r="J2306" s="37"/>
      <c r="K2306" s="38"/>
      <c r="L2306" s="38"/>
      <c r="M2306" s="38"/>
      <c r="N2306" s="36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</row>
    <row r="2307" spans="1:28" ht="36" customHeight="1" x14ac:dyDescent="0.35">
      <c r="A2307" s="24">
        <f>A2303+1</f>
        <v>981</v>
      </c>
      <c r="B2307" s="59" t="s">
        <v>766</v>
      </c>
      <c r="C2307" s="26" t="s">
        <v>29</v>
      </c>
      <c r="D2307" s="67">
        <v>58.9</v>
      </c>
      <c r="E2307" s="41"/>
      <c r="F2307" s="42"/>
    </row>
    <row r="2308" spans="1:28" ht="30" customHeight="1" x14ac:dyDescent="0.35">
      <c r="A2308" s="24">
        <f>A2307+1</f>
        <v>982</v>
      </c>
      <c r="B2308" s="25" t="s">
        <v>131</v>
      </c>
      <c r="C2308" s="26" t="s">
        <v>132</v>
      </c>
      <c r="D2308" s="73">
        <v>38</v>
      </c>
      <c r="E2308" s="41"/>
      <c r="F2308" s="42"/>
    </row>
    <row r="2309" spans="1:28" ht="31" hidden="1" customHeight="1" outlineLevel="1" x14ac:dyDescent="0.35">
      <c r="A2309" s="47"/>
      <c r="B2309" s="48" t="s">
        <v>133</v>
      </c>
      <c r="C2309" s="49" t="s">
        <v>58</v>
      </c>
      <c r="D2309" s="55">
        <v>26</v>
      </c>
      <c r="E2309" s="56">
        <v>2.6</v>
      </c>
      <c r="F2309" s="42"/>
    </row>
    <row r="2310" spans="1:28" ht="31" hidden="1" customHeight="1" outlineLevel="1" x14ac:dyDescent="0.35">
      <c r="A2310" s="74"/>
      <c r="B2310" s="48" t="s">
        <v>134</v>
      </c>
      <c r="C2310" s="49" t="s">
        <v>19</v>
      </c>
      <c r="D2310" s="81">
        <f>1.87</f>
        <v>1.87</v>
      </c>
      <c r="E2310" s="69"/>
      <c r="F2310" s="42"/>
    </row>
    <row r="2311" spans="1:28" ht="30" customHeight="1" collapsed="1" x14ac:dyDescent="0.35">
      <c r="A2311" s="24">
        <f>A2308+1</f>
        <v>983</v>
      </c>
      <c r="B2311" s="25" t="s">
        <v>135</v>
      </c>
      <c r="C2311" s="26" t="s">
        <v>19</v>
      </c>
      <c r="D2311" s="110">
        <v>8.25</v>
      </c>
      <c r="E2311" s="41"/>
      <c r="F2311" s="42"/>
    </row>
    <row r="2312" spans="1:28" ht="31" hidden="1" customHeight="1" outlineLevel="1" x14ac:dyDescent="0.35">
      <c r="A2312" s="47"/>
      <c r="B2312" s="48" t="s">
        <v>52</v>
      </c>
      <c r="C2312" s="49" t="s">
        <v>19</v>
      </c>
      <c r="D2312" s="68">
        <f>8.25</f>
        <v>8.25</v>
      </c>
      <c r="E2312" s="51"/>
      <c r="F2312" s="42"/>
    </row>
    <row r="2313" spans="1:28" s="39" customFormat="1" ht="21" customHeight="1" collapsed="1" x14ac:dyDescent="0.35">
      <c r="A2313" s="158" t="s">
        <v>851</v>
      </c>
      <c r="B2313" s="158"/>
      <c r="C2313" s="158"/>
      <c r="D2313" s="158"/>
      <c r="E2313" s="158"/>
      <c r="F2313" s="34"/>
      <c r="G2313" s="35"/>
      <c r="H2313" s="36"/>
      <c r="I2313" s="37"/>
      <c r="J2313" s="37"/>
      <c r="K2313" s="38"/>
      <c r="L2313" s="38"/>
      <c r="M2313" s="38"/>
      <c r="N2313" s="36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</row>
    <row r="2314" spans="1:28" s="39" customFormat="1" ht="21" customHeight="1" x14ac:dyDescent="0.35">
      <c r="A2314" s="154" t="s">
        <v>852</v>
      </c>
      <c r="B2314" s="154"/>
      <c r="C2314" s="154"/>
      <c r="D2314" s="154"/>
      <c r="E2314" s="154"/>
      <c r="F2314" s="34"/>
      <c r="G2314" s="35"/>
      <c r="H2314" s="36"/>
      <c r="I2314" s="37"/>
      <c r="J2314" s="37"/>
      <c r="K2314" s="38"/>
      <c r="L2314" s="38"/>
      <c r="M2314" s="38"/>
      <c r="N2314" s="36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</row>
    <row r="2315" spans="1:28" ht="33" customHeight="1" x14ac:dyDescent="0.35">
      <c r="A2315" s="24">
        <f>A2311+1</f>
        <v>984</v>
      </c>
      <c r="B2315" s="25" t="s">
        <v>64</v>
      </c>
      <c r="C2315" s="26" t="s">
        <v>19</v>
      </c>
      <c r="D2315" s="40">
        <v>0.64</v>
      </c>
      <c r="E2315" s="41"/>
      <c r="F2315" s="53"/>
    </row>
    <row r="2316" spans="1:28" ht="34.5" hidden="1" customHeight="1" outlineLevel="1" x14ac:dyDescent="0.35">
      <c r="A2316" s="47"/>
      <c r="B2316" s="48" t="s">
        <v>137</v>
      </c>
      <c r="C2316" s="75" t="s">
        <v>14</v>
      </c>
      <c r="D2316" s="77">
        <f>3.91*1/1000</f>
        <v>3.9100000000000003E-3</v>
      </c>
      <c r="E2316" s="78"/>
      <c r="F2316" s="42"/>
    </row>
    <row r="2317" spans="1:28" s="58" customFormat="1" ht="30" hidden="1" customHeight="1" outlineLevel="1" x14ac:dyDescent="0.4">
      <c r="A2317" s="54"/>
      <c r="B2317" s="48" t="s">
        <v>65</v>
      </c>
      <c r="C2317" s="49" t="s">
        <v>19</v>
      </c>
      <c r="D2317" s="63">
        <f>0.64*1</f>
        <v>0.64</v>
      </c>
      <c r="E2317" s="51"/>
      <c r="F2317" s="57"/>
    </row>
    <row r="2318" spans="1:28" s="58" customFormat="1" ht="30" customHeight="1" collapsed="1" x14ac:dyDescent="0.4">
      <c r="A2318" s="24">
        <f>A2315+1</f>
        <v>985</v>
      </c>
      <c r="B2318" s="59" t="s">
        <v>138</v>
      </c>
      <c r="C2318" s="70" t="s">
        <v>67</v>
      </c>
      <c r="D2318" s="40" t="s">
        <v>853</v>
      </c>
      <c r="E2318" s="66"/>
      <c r="F2318" s="57"/>
    </row>
    <row r="2319" spans="1:28" s="58" customFormat="1" ht="30" hidden="1" customHeight="1" outlineLevel="1" x14ac:dyDescent="0.4">
      <c r="A2319" s="54"/>
      <c r="B2319" s="48" t="s">
        <v>140</v>
      </c>
      <c r="C2319" s="49" t="s">
        <v>58</v>
      </c>
      <c r="D2319" s="55">
        <v>1</v>
      </c>
      <c r="E2319" s="51"/>
      <c r="F2319" s="57"/>
    </row>
    <row r="2320" spans="1:28" s="39" customFormat="1" ht="36" customHeight="1" collapsed="1" x14ac:dyDescent="0.35">
      <c r="A2320" s="24">
        <f>A2318+1</f>
        <v>986</v>
      </c>
      <c r="B2320" s="25" t="s">
        <v>66</v>
      </c>
      <c r="C2320" s="26" t="s">
        <v>67</v>
      </c>
      <c r="D2320" s="40" t="s">
        <v>854</v>
      </c>
      <c r="E2320" s="64"/>
      <c r="F2320" s="34"/>
      <c r="G2320" s="35"/>
      <c r="H2320" s="36"/>
      <c r="I2320" s="37"/>
      <c r="J2320" s="37"/>
      <c r="K2320" s="38"/>
      <c r="L2320" s="38"/>
      <c r="M2320" s="38"/>
      <c r="N2320" s="36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</row>
    <row r="2321" spans="1:28" s="58" customFormat="1" ht="30" hidden="1" customHeight="1" outlineLevel="1" x14ac:dyDescent="0.4">
      <c r="A2321" s="54"/>
      <c r="B2321" s="48" t="s">
        <v>624</v>
      </c>
      <c r="C2321" s="49" t="s">
        <v>14</v>
      </c>
      <c r="D2321" s="65">
        <f>(46.18)/1000</f>
        <v>4.6179999999999999E-2</v>
      </c>
      <c r="E2321" s="51"/>
      <c r="F2321" s="57"/>
    </row>
    <row r="2322" spans="1:28" s="58" customFormat="1" ht="30" hidden="1" customHeight="1" outlineLevel="1" x14ac:dyDescent="0.4">
      <c r="A2322" s="54"/>
      <c r="B2322" s="48" t="s">
        <v>117</v>
      </c>
      <c r="C2322" s="49" t="s">
        <v>14</v>
      </c>
      <c r="D2322" s="65">
        <f>(23.6+23.6)*1/1000</f>
        <v>4.7200000000000006E-2</v>
      </c>
      <c r="E2322" s="51"/>
      <c r="F2322" s="57"/>
    </row>
    <row r="2323" spans="1:28" s="58" customFormat="1" ht="30" customHeight="1" collapsed="1" x14ac:dyDescent="0.4">
      <c r="A2323" s="24">
        <f>A2320+1</f>
        <v>987</v>
      </c>
      <c r="B2323" s="59" t="s">
        <v>71</v>
      </c>
      <c r="C2323" s="26" t="s">
        <v>67</v>
      </c>
      <c r="D2323" s="40" t="s">
        <v>854</v>
      </c>
      <c r="E2323" s="66"/>
      <c r="F2323" s="57"/>
    </row>
    <row r="2324" spans="1:28" ht="31" customHeight="1" x14ac:dyDescent="0.35">
      <c r="A2324" s="24">
        <f>A2323+1</f>
        <v>988</v>
      </c>
      <c r="B2324" s="25" t="s">
        <v>755</v>
      </c>
      <c r="C2324" s="89" t="s">
        <v>29</v>
      </c>
      <c r="D2324" s="80">
        <f>((1.9*0.6*4*1))</f>
        <v>4.5599999999999996</v>
      </c>
      <c r="E2324" s="41"/>
      <c r="F2324" s="42"/>
    </row>
    <row r="2325" spans="1:28" ht="30" hidden="1" customHeight="1" outlineLevel="1" x14ac:dyDescent="0.35">
      <c r="A2325" s="47"/>
      <c r="B2325" s="48" t="s">
        <v>756</v>
      </c>
      <c r="C2325" s="49" t="s">
        <v>74</v>
      </c>
      <c r="D2325" s="68">
        <f>D2324*2</f>
        <v>9.1199999999999992</v>
      </c>
      <c r="E2325" s="78"/>
      <c r="F2325" s="42"/>
    </row>
    <row r="2326" spans="1:28" ht="36" customHeight="1" collapsed="1" x14ac:dyDescent="0.35">
      <c r="A2326" s="24">
        <f>A2324+1</f>
        <v>989</v>
      </c>
      <c r="B2326" s="59" t="s">
        <v>72</v>
      </c>
      <c r="C2326" s="26" t="s">
        <v>29</v>
      </c>
      <c r="D2326" s="67">
        <f>((0.159*0.944*3.14)+(1*0.3*2)+(0.25*0.3*4*2))*1</f>
        <v>1.6713014400000001</v>
      </c>
      <c r="E2326" s="41"/>
      <c r="F2326" s="42"/>
    </row>
    <row r="2327" spans="1:28" s="58" customFormat="1" ht="30" hidden="1" customHeight="1" outlineLevel="1" x14ac:dyDescent="0.4">
      <c r="A2327" s="54"/>
      <c r="B2327" s="48" t="s">
        <v>73</v>
      </c>
      <c r="C2327" s="49" t="s">
        <v>74</v>
      </c>
      <c r="D2327" s="68">
        <f>3.31*D2326</f>
        <v>5.5320077664000005</v>
      </c>
      <c r="E2327" s="69">
        <v>6.0000000000000001E-3</v>
      </c>
      <c r="F2327" s="57"/>
    </row>
    <row r="2328" spans="1:28" ht="36" customHeight="1" collapsed="1" x14ac:dyDescent="0.35">
      <c r="A2328" s="24">
        <f>A2326+1</f>
        <v>990</v>
      </c>
      <c r="B2328" s="59" t="s">
        <v>75</v>
      </c>
      <c r="C2328" s="26" t="s">
        <v>29</v>
      </c>
      <c r="D2328" s="67">
        <f>((0.159*0.944*3.14)+(1*0.3*2)+(0.25*0.3*4*2))*1</f>
        <v>1.6713014400000001</v>
      </c>
      <c r="E2328" s="41"/>
      <c r="F2328" s="42"/>
    </row>
    <row r="2329" spans="1:28" ht="36" customHeight="1" x14ac:dyDescent="0.35">
      <c r="A2329" s="24">
        <f>A2328+1</f>
        <v>991</v>
      </c>
      <c r="B2329" s="59" t="s">
        <v>76</v>
      </c>
      <c r="C2329" s="26" t="s">
        <v>29</v>
      </c>
      <c r="D2329" s="67">
        <f>((0.159*0.944*3.14)+(1*0.3*2)+(0.25*0.3*4*2))*1</f>
        <v>1.6713014400000001</v>
      </c>
      <c r="E2329" s="41"/>
      <c r="F2329" s="42"/>
    </row>
    <row r="2330" spans="1:28" s="58" customFormat="1" ht="30" customHeight="1" x14ac:dyDescent="0.4">
      <c r="A2330" s="24">
        <f>A2329+1</f>
        <v>992</v>
      </c>
      <c r="B2330" s="59" t="s">
        <v>77</v>
      </c>
      <c r="C2330" s="70" t="s">
        <v>29</v>
      </c>
      <c r="D2330" s="67">
        <f>((0.159*0.944*3.14)+(1*0.3*2)+(0.25*0.3*4*2))*1</f>
        <v>1.6713014400000001</v>
      </c>
      <c r="E2330" s="66"/>
      <c r="F2330" s="57"/>
    </row>
    <row r="2331" spans="1:28" s="58" customFormat="1" ht="30" hidden="1" customHeight="1" outlineLevel="1" x14ac:dyDescent="0.4">
      <c r="A2331" s="54"/>
      <c r="B2331" s="48" t="s">
        <v>78</v>
      </c>
      <c r="C2331" s="49" t="s">
        <v>74</v>
      </c>
      <c r="D2331" s="68">
        <f>D2330*0.255</f>
        <v>0.42618186720000006</v>
      </c>
      <c r="E2331" s="69">
        <v>1E-3</v>
      </c>
      <c r="F2331" s="57"/>
    </row>
    <row r="2332" spans="1:28" s="58" customFormat="1" ht="30" customHeight="1" collapsed="1" x14ac:dyDescent="0.4">
      <c r="A2332" s="24">
        <f>A2330+1</f>
        <v>993</v>
      </c>
      <c r="B2332" s="59" t="s">
        <v>79</v>
      </c>
      <c r="C2332" s="70" t="s">
        <v>29</v>
      </c>
      <c r="D2332" s="67">
        <f>((0.159*0.944*3.14)+(1*0.3*2)+(0.25*0.3*4*2))*1</f>
        <v>1.6713014400000001</v>
      </c>
      <c r="E2332" s="66"/>
      <c r="F2332" s="57"/>
    </row>
    <row r="2333" spans="1:28" s="58" customFormat="1" ht="30" hidden="1" customHeight="1" outlineLevel="1" x14ac:dyDescent="0.4">
      <c r="A2333" s="54"/>
      <c r="B2333" s="48" t="s">
        <v>80</v>
      </c>
      <c r="C2333" s="49" t="s">
        <v>74</v>
      </c>
      <c r="D2333" s="68">
        <f>D2332*0.36*2</f>
        <v>1.2033370368</v>
      </c>
      <c r="E2333" s="69">
        <v>1E-3</v>
      </c>
      <c r="F2333" s="57"/>
    </row>
    <row r="2334" spans="1:28" s="39" customFormat="1" ht="21" customHeight="1" collapsed="1" x14ac:dyDescent="0.35">
      <c r="A2334" s="154" t="s">
        <v>855</v>
      </c>
      <c r="B2334" s="154"/>
      <c r="C2334" s="154"/>
      <c r="D2334" s="154"/>
      <c r="E2334" s="154"/>
      <c r="F2334" s="34"/>
      <c r="G2334" s="35"/>
      <c r="H2334" s="36"/>
      <c r="I2334" s="37"/>
      <c r="J2334" s="37"/>
      <c r="K2334" s="38"/>
      <c r="L2334" s="38"/>
      <c r="M2334" s="38"/>
      <c r="N2334" s="36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</row>
    <row r="2335" spans="1:28" ht="33" customHeight="1" x14ac:dyDescent="0.35">
      <c r="A2335" s="24">
        <f>A2332+1</f>
        <v>994</v>
      </c>
      <c r="B2335" s="25" t="s">
        <v>64</v>
      </c>
      <c r="C2335" s="26" t="s">
        <v>19</v>
      </c>
      <c r="D2335" s="40">
        <v>0.74</v>
      </c>
      <c r="E2335" s="41"/>
      <c r="F2335" s="53"/>
    </row>
    <row r="2336" spans="1:28" ht="34.5" hidden="1" customHeight="1" outlineLevel="1" x14ac:dyDescent="0.35">
      <c r="A2336" s="47"/>
      <c r="B2336" s="48" t="s">
        <v>137</v>
      </c>
      <c r="C2336" s="75" t="s">
        <v>14</v>
      </c>
      <c r="D2336" s="77">
        <f>3.91*2/1000*1.1</f>
        <v>8.602000000000002E-3</v>
      </c>
      <c r="E2336" s="78"/>
      <c r="F2336" s="42"/>
    </row>
    <row r="2337" spans="1:28" s="58" customFormat="1" ht="30" hidden="1" customHeight="1" outlineLevel="1" x14ac:dyDescent="0.4">
      <c r="A2337" s="54"/>
      <c r="B2337" s="48" t="s">
        <v>65</v>
      </c>
      <c r="C2337" s="49" t="s">
        <v>19</v>
      </c>
      <c r="D2337" s="63">
        <f>0.37*2</f>
        <v>0.74</v>
      </c>
      <c r="E2337" s="51"/>
      <c r="F2337" s="57"/>
    </row>
    <row r="2338" spans="1:28" s="58" customFormat="1" ht="30" customHeight="1" collapsed="1" x14ac:dyDescent="0.4">
      <c r="A2338" s="24">
        <f>A2335+1</f>
        <v>995</v>
      </c>
      <c r="B2338" s="59" t="s">
        <v>138</v>
      </c>
      <c r="C2338" s="70" t="s">
        <v>67</v>
      </c>
      <c r="D2338" s="40" t="s">
        <v>177</v>
      </c>
      <c r="E2338" s="66"/>
      <c r="F2338" s="57"/>
    </row>
    <row r="2339" spans="1:28" s="58" customFormat="1" ht="30" hidden="1" customHeight="1" outlineLevel="1" x14ac:dyDescent="0.4">
      <c r="A2339" s="54"/>
      <c r="B2339" s="48" t="s">
        <v>140</v>
      </c>
      <c r="C2339" s="49" t="s">
        <v>58</v>
      </c>
      <c r="D2339" s="55">
        <v>2</v>
      </c>
      <c r="E2339" s="51"/>
      <c r="F2339" s="57"/>
    </row>
    <row r="2340" spans="1:28" s="39" customFormat="1" ht="36" customHeight="1" collapsed="1" x14ac:dyDescent="0.35">
      <c r="A2340" s="24">
        <f>A2338+1</f>
        <v>996</v>
      </c>
      <c r="B2340" s="25" t="s">
        <v>66</v>
      </c>
      <c r="C2340" s="26" t="s">
        <v>67</v>
      </c>
      <c r="D2340" s="40" t="s">
        <v>188</v>
      </c>
      <c r="E2340" s="64"/>
      <c r="F2340" s="34"/>
      <c r="G2340" s="35"/>
      <c r="H2340" s="36"/>
      <c r="I2340" s="37"/>
      <c r="J2340" s="37"/>
      <c r="K2340" s="38"/>
      <c r="L2340" s="38"/>
      <c r="M2340" s="38"/>
      <c r="N2340" s="36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</row>
    <row r="2341" spans="1:28" s="58" customFormat="1" ht="30" hidden="1" customHeight="1" outlineLevel="1" x14ac:dyDescent="0.4">
      <c r="A2341" s="54"/>
      <c r="B2341" s="48" t="s">
        <v>700</v>
      </c>
      <c r="C2341" s="49" t="s">
        <v>14</v>
      </c>
      <c r="D2341" s="65">
        <f>0.016*2</f>
        <v>3.2000000000000001E-2</v>
      </c>
      <c r="E2341" s="51"/>
      <c r="F2341" s="57"/>
    </row>
    <row r="2342" spans="1:28" s="58" customFormat="1" ht="30" hidden="1" customHeight="1" outlineLevel="1" x14ac:dyDescent="0.4">
      <c r="A2342" s="54"/>
      <c r="B2342" s="48" t="s">
        <v>117</v>
      </c>
      <c r="C2342" s="49" t="s">
        <v>14</v>
      </c>
      <c r="D2342" s="65">
        <f>(7.07+13.6)*2/1000</f>
        <v>4.1340000000000002E-2</v>
      </c>
      <c r="E2342" s="51"/>
      <c r="F2342" s="57"/>
    </row>
    <row r="2343" spans="1:28" s="58" customFormat="1" ht="30" customHeight="1" collapsed="1" x14ac:dyDescent="0.4">
      <c r="A2343" s="24">
        <f>A2340+1</f>
        <v>997</v>
      </c>
      <c r="B2343" s="59" t="s">
        <v>71</v>
      </c>
      <c r="C2343" s="26" t="s">
        <v>67</v>
      </c>
      <c r="D2343" s="40" t="s">
        <v>188</v>
      </c>
      <c r="E2343" s="66"/>
      <c r="F2343" s="57"/>
    </row>
    <row r="2344" spans="1:28" ht="31" customHeight="1" x14ac:dyDescent="0.35">
      <c r="A2344" s="24">
        <f>A2343+1</f>
        <v>998</v>
      </c>
      <c r="B2344" s="25" t="s">
        <v>755</v>
      </c>
      <c r="C2344" s="89" t="s">
        <v>29</v>
      </c>
      <c r="D2344" s="80">
        <f>((1.9*0.4*4*2))</f>
        <v>6.08</v>
      </c>
      <c r="E2344" s="41"/>
      <c r="F2344" s="42"/>
    </row>
    <row r="2345" spans="1:28" ht="30" hidden="1" customHeight="1" outlineLevel="1" x14ac:dyDescent="0.35">
      <c r="A2345" s="47"/>
      <c r="B2345" s="48" t="s">
        <v>756</v>
      </c>
      <c r="C2345" s="49" t="s">
        <v>74</v>
      </c>
      <c r="D2345" s="68">
        <f>D2344*2</f>
        <v>12.16</v>
      </c>
      <c r="E2345" s="78"/>
      <c r="F2345" s="42"/>
    </row>
    <row r="2346" spans="1:28" ht="36" customHeight="1" collapsed="1" x14ac:dyDescent="0.35">
      <c r="A2346" s="24">
        <f>A2344+1</f>
        <v>999</v>
      </c>
      <c r="B2346" s="59" t="s">
        <v>72</v>
      </c>
      <c r="C2346" s="26" t="s">
        <v>29</v>
      </c>
      <c r="D2346" s="67">
        <f>((0.089*0.417*3.14)+(0.3*0.3*2)+(0.1*0.1*4*2))*2</f>
        <v>0.75306963999999998</v>
      </c>
      <c r="E2346" s="41"/>
      <c r="F2346" s="42"/>
    </row>
    <row r="2347" spans="1:28" s="58" customFormat="1" ht="30" hidden="1" customHeight="1" outlineLevel="1" x14ac:dyDescent="0.4">
      <c r="A2347" s="54"/>
      <c r="B2347" s="48" t="s">
        <v>73</v>
      </c>
      <c r="C2347" s="49" t="s">
        <v>74</v>
      </c>
      <c r="D2347" s="68">
        <f>3.31*D2346</f>
        <v>2.4926605084000002</v>
      </c>
      <c r="E2347" s="69">
        <v>3.0000000000000001E-3</v>
      </c>
      <c r="F2347" s="57"/>
    </row>
    <row r="2348" spans="1:28" ht="36" customHeight="1" collapsed="1" x14ac:dyDescent="0.35">
      <c r="A2348" s="24">
        <f>A2346+1</f>
        <v>1000</v>
      </c>
      <c r="B2348" s="59" t="s">
        <v>75</v>
      </c>
      <c r="C2348" s="26" t="s">
        <v>29</v>
      </c>
      <c r="D2348" s="67">
        <f>((0.089*0.417*3.14)+(0.3*0.3*2)+(0.1*0.1*4*2))*2</f>
        <v>0.75306963999999998</v>
      </c>
      <c r="E2348" s="41"/>
      <c r="F2348" s="42"/>
    </row>
    <row r="2349" spans="1:28" ht="36" customHeight="1" x14ac:dyDescent="0.35">
      <c r="A2349" s="24">
        <f>A2348+1</f>
        <v>1001</v>
      </c>
      <c r="B2349" s="59" t="s">
        <v>76</v>
      </c>
      <c r="C2349" s="26" t="s">
        <v>29</v>
      </c>
      <c r="D2349" s="67">
        <f>((0.089*0.417*3.14)+(0.3*0.3*2)+(0.1*0.1*4*2))*2</f>
        <v>0.75306963999999998</v>
      </c>
      <c r="E2349" s="41"/>
      <c r="F2349" s="42"/>
    </row>
    <row r="2350" spans="1:28" s="58" customFormat="1" ht="30" customHeight="1" x14ac:dyDescent="0.4">
      <c r="A2350" s="24">
        <f>A2349+1</f>
        <v>1002</v>
      </c>
      <c r="B2350" s="59" t="s">
        <v>77</v>
      </c>
      <c r="C2350" s="70" t="s">
        <v>29</v>
      </c>
      <c r="D2350" s="67">
        <f>((0.089*0.417*3.14)+(0.3*0.3*2)+(0.1*0.1*4*2))*2</f>
        <v>0.75306963999999998</v>
      </c>
      <c r="E2350" s="66"/>
      <c r="F2350" s="57"/>
    </row>
    <row r="2351" spans="1:28" s="58" customFormat="1" ht="30" hidden="1" customHeight="1" outlineLevel="1" x14ac:dyDescent="0.4">
      <c r="A2351" s="54"/>
      <c r="B2351" s="48" t="s">
        <v>78</v>
      </c>
      <c r="C2351" s="49" t="s">
        <v>74</v>
      </c>
      <c r="D2351" s="68">
        <f>D2350*0.255</f>
        <v>0.19203275819999999</v>
      </c>
      <c r="E2351" s="69">
        <v>1E-3</v>
      </c>
      <c r="F2351" s="57"/>
    </row>
    <row r="2352" spans="1:28" s="58" customFormat="1" ht="30" customHeight="1" collapsed="1" x14ac:dyDescent="0.4">
      <c r="A2352" s="24">
        <f>A2350+1</f>
        <v>1003</v>
      </c>
      <c r="B2352" s="59" t="s">
        <v>79</v>
      </c>
      <c r="C2352" s="70" t="s">
        <v>29</v>
      </c>
      <c r="D2352" s="67">
        <f>((0.089*0.417*3.14)+(0.3*0.3*2)+(0.1*0.1*4*2))*2</f>
        <v>0.75306963999999998</v>
      </c>
      <c r="E2352" s="66"/>
      <c r="F2352" s="57"/>
    </row>
    <row r="2353" spans="1:28" s="58" customFormat="1" ht="30" hidden="1" customHeight="1" outlineLevel="1" x14ac:dyDescent="0.4">
      <c r="A2353" s="54"/>
      <c r="B2353" s="48" t="s">
        <v>80</v>
      </c>
      <c r="C2353" s="49" t="s">
        <v>74</v>
      </c>
      <c r="D2353" s="68">
        <f>D2352*0.36*2</f>
        <v>0.54221014079999996</v>
      </c>
      <c r="E2353" s="69"/>
      <c r="F2353" s="57"/>
    </row>
    <row r="2354" spans="1:28" s="39" customFormat="1" ht="21" customHeight="1" collapsed="1" x14ac:dyDescent="0.35">
      <c r="A2354" s="158" t="s">
        <v>856</v>
      </c>
      <c r="B2354" s="158"/>
      <c r="C2354" s="158"/>
      <c r="D2354" s="158"/>
      <c r="E2354" s="158"/>
      <c r="F2354" s="34"/>
      <c r="G2354" s="35"/>
      <c r="H2354" s="36"/>
      <c r="I2354" s="37"/>
      <c r="J2354" s="37"/>
      <c r="K2354" s="38"/>
      <c r="L2354" s="38"/>
      <c r="M2354" s="38"/>
      <c r="N2354" s="36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</row>
    <row r="2355" spans="1:28" s="39" customFormat="1" ht="21" customHeight="1" x14ac:dyDescent="0.35">
      <c r="A2355" s="154" t="s">
        <v>181</v>
      </c>
      <c r="B2355" s="154"/>
      <c r="C2355" s="154"/>
      <c r="D2355" s="154"/>
      <c r="E2355" s="154"/>
      <c r="F2355" s="34"/>
      <c r="G2355" s="35"/>
      <c r="H2355" s="36"/>
      <c r="I2355" s="37"/>
      <c r="J2355" s="37"/>
      <c r="K2355" s="38"/>
      <c r="L2355" s="38"/>
      <c r="M2355" s="38"/>
      <c r="N2355" s="36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</row>
    <row r="2356" spans="1:28" s="58" customFormat="1" ht="30" customHeight="1" x14ac:dyDescent="0.4">
      <c r="A2356" s="24">
        <f>A2352+1</f>
        <v>1004</v>
      </c>
      <c r="B2356" s="59" t="s">
        <v>109</v>
      </c>
      <c r="C2356" s="70" t="s">
        <v>14</v>
      </c>
      <c r="D2356" s="27">
        <v>0.54800000000000004</v>
      </c>
      <c r="E2356" s="66"/>
      <c r="F2356" s="57"/>
    </row>
    <row r="2357" spans="1:28" s="58" customFormat="1" ht="30" hidden="1" customHeight="1" outlineLevel="1" x14ac:dyDescent="0.4">
      <c r="A2357" s="54"/>
      <c r="B2357" s="48" t="s">
        <v>112</v>
      </c>
      <c r="C2357" s="49" t="s">
        <v>14</v>
      </c>
      <c r="D2357" s="65">
        <f>20.16*2*2/1000</f>
        <v>8.0640000000000003E-2</v>
      </c>
      <c r="E2357" s="51"/>
      <c r="F2357" s="57"/>
    </row>
    <row r="2358" spans="1:28" s="58" customFormat="1" ht="30" hidden="1" customHeight="1" outlineLevel="1" x14ac:dyDescent="0.4">
      <c r="A2358" s="54"/>
      <c r="B2358" s="48" t="s">
        <v>114</v>
      </c>
      <c r="C2358" s="49" t="s">
        <v>14</v>
      </c>
      <c r="D2358" s="65">
        <f>((6.64+1.66+8.29+11.27+30.537+11.57))*2/1000</f>
        <v>0.13993399999999998</v>
      </c>
      <c r="E2358" s="51"/>
      <c r="F2358" s="57"/>
    </row>
    <row r="2359" spans="1:28" s="58" customFormat="1" ht="30" hidden="1" customHeight="1" outlineLevel="1" x14ac:dyDescent="0.4">
      <c r="A2359" s="54"/>
      <c r="B2359" s="48" t="s">
        <v>110</v>
      </c>
      <c r="C2359" s="49" t="s">
        <v>14</v>
      </c>
      <c r="D2359" s="65">
        <f>(6.85+32.04)*2/1000</f>
        <v>7.7780000000000002E-2</v>
      </c>
      <c r="E2359" s="51"/>
      <c r="F2359" s="57"/>
    </row>
    <row r="2360" spans="1:28" s="58" customFormat="1" ht="30" hidden="1" customHeight="1" outlineLevel="1" x14ac:dyDescent="0.4">
      <c r="A2360" s="54"/>
      <c r="B2360" s="48" t="s">
        <v>182</v>
      </c>
      <c r="C2360" s="49" t="s">
        <v>14</v>
      </c>
      <c r="D2360" s="65">
        <f>11.48*2/1000</f>
        <v>2.2960000000000001E-2</v>
      </c>
      <c r="E2360" s="51"/>
      <c r="F2360" s="57"/>
    </row>
    <row r="2361" spans="1:28" s="58" customFormat="1" ht="30" hidden="1" customHeight="1" outlineLevel="1" x14ac:dyDescent="0.4">
      <c r="A2361" s="54"/>
      <c r="B2361" s="48" t="s">
        <v>183</v>
      </c>
      <c r="C2361" s="49" t="s">
        <v>14</v>
      </c>
      <c r="D2361" s="65">
        <f>(2.96+7.28)*2/1000</f>
        <v>2.0480000000000002E-2</v>
      </c>
      <c r="E2361" s="51"/>
      <c r="F2361" s="57"/>
    </row>
    <row r="2362" spans="1:28" s="58" customFormat="1" ht="30" hidden="1" customHeight="1" outlineLevel="1" x14ac:dyDescent="0.4">
      <c r="A2362" s="54"/>
      <c r="B2362" s="48" t="s">
        <v>184</v>
      </c>
      <c r="C2362" s="49" t="s">
        <v>14</v>
      </c>
      <c r="D2362" s="65">
        <f>(6.26+13.66)*2/1000</f>
        <v>3.984E-2</v>
      </c>
      <c r="E2362" s="51"/>
      <c r="F2362" s="57"/>
    </row>
    <row r="2363" spans="1:28" s="58" customFormat="1" ht="30" hidden="1" customHeight="1" outlineLevel="1" x14ac:dyDescent="0.4">
      <c r="A2363" s="54"/>
      <c r="B2363" s="48" t="s">
        <v>185</v>
      </c>
      <c r="C2363" s="49" t="s">
        <v>14</v>
      </c>
      <c r="D2363" s="65">
        <f>2.14*2/1000</f>
        <v>4.28E-3</v>
      </c>
      <c r="E2363" s="51"/>
      <c r="F2363" s="57"/>
    </row>
    <row r="2364" spans="1:28" s="58" customFormat="1" ht="30" hidden="1" customHeight="1" outlineLevel="1" x14ac:dyDescent="0.4">
      <c r="A2364" s="54"/>
      <c r="B2364" s="48" t="s">
        <v>186</v>
      </c>
      <c r="C2364" s="49" t="s">
        <v>14</v>
      </c>
      <c r="D2364" s="65">
        <f>81.12*2/1000</f>
        <v>0.16224</v>
      </c>
      <c r="E2364" s="51"/>
      <c r="F2364" s="57"/>
    </row>
    <row r="2365" spans="1:28" s="58" customFormat="1" ht="30" customHeight="1" collapsed="1" x14ac:dyDescent="0.4">
      <c r="A2365" s="24">
        <f>A2356+1</f>
        <v>1005</v>
      </c>
      <c r="B2365" s="59" t="s">
        <v>118</v>
      </c>
      <c r="C2365" s="70" t="s">
        <v>14</v>
      </c>
      <c r="D2365" s="27">
        <v>0.54800000000000004</v>
      </c>
      <c r="E2365" s="66"/>
      <c r="F2365" s="57"/>
    </row>
    <row r="2366" spans="1:28" ht="30" customHeight="1" x14ac:dyDescent="0.35">
      <c r="A2366" s="24">
        <f>A2365+1</f>
        <v>1006</v>
      </c>
      <c r="B2366" s="25" t="s">
        <v>108</v>
      </c>
      <c r="C2366" s="26" t="s">
        <v>19</v>
      </c>
      <c r="D2366" s="67">
        <f>0.26*2</f>
        <v>0.52</v>
      </c>
      <c r="E2366" s="41"/>
      <c r="F2366" s="42"/>
    </row>
    <row r="2367" spans="1:28" ht="30" hidden="1" customHeight="1" outlineLevel="1" x14ac:dyDescent="0.35">
      <c r="A2367" s="47"/>
      <c r="B2367" s="48" t="s">
        <v>52</v>
      </c>
      <c r="C2367" s="49" t="s">
        <v>19</v>
      </c>
      <c r="D2367" s="50">
        <f>0.52</f>
        <v>0.52</v>
      </c>
      <c r="E2367" s="51"/>
      <c r="F2367" s="42"/>
    </row>
    <row r="2368" spans="1:28" s="39" customFormat="1" ht="36" customHeight="1" collapsed="1" x14ac:dyDescent="0.35">
      <c r="A2368" s="24">
        <f>A2366+1</f>
        <v>1007</v>
      </c>
      <c r="B2368" s="25" t="s">
        <v>136</v>
      </c>
      <c r="C2368" s="26" t="s">
        <v>19</v>
      </c>
      <c r="D2368" s="40">
        <f>0.09*2</f>
        <v>0.18</v>
      </c>
      <c r="E2368" s="64"/>
      <c r="F2368" s="34"/>
      <c r="G2368" s="35"/>
      <c r="H2368" s="36"/>
      <c r="I2368" s="37"/>
      <c r="J2368" s="37"/>
      <c r="K2368" s="38"/>
      <c r="L2368" s="38"/>
      <c r="M2368" s="38"/>
      <c r="N2368" s="36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</row>
    <row r="2369" spans="1:28" ht="30" hidden="1" customHeight="1" outlineLevel="1" x14ac:dyDescent="0.35">
      <c r="A2369" s="47"/>
      <c r="B2369" s="48" t="s">
        <v>134</v>
      </c>
      <c r="C2369" s="75" t="s">
        <v>19</v>
      </c>
      <c r="D2369" s="75">
        <v>0.18</v>
      </c>
      <c r="E2369" s="76"/>
      <c r="F2369" s="42"/>
    </row>
    <row r="2370" spans="1:28" ht="36" customHeight="1" collapsed="1" x14ac:dyDescent="0.35">
      <c r="A2370" s="24">
        <f>A2368+1</f>
        <v>1008</v>
      </c>
      <c r="B2370" s="59" t="s">
        <v>187</v>
      </c>
      <c r="C2370" s="26" t="s">
        <v>19</v>
      </c>
      <c r="D2370" s="67">
        <f>0.24*2</f>
        <v>0.48</v>
      </c>
      <c r="E2370" s="41"/>
      <c r="F2370" s="42"/>
    </row>
    <row r="2371" spans="1:28" s="58" customFormat="1" ht="30" hidden="1" customHeight="1" outlineLevel="1" x14ac:dyDescent="0.4">
      <c r="A2371" s="54"/>
      <c r="B2371" s="48" t="s">
        <v>65</v>
      </c>
      <c r="C2371" s="49" t="s">
        <v>19</v>
      </c>
      <c r="D2371" s="68">
        <f>0.5</f>
        <v>0.5</v>
      </c>
      <c r="E2371" s="69"/>
      <c r="F2371" s="57"/>
    </row>
    <row r="2372" spans="1:28" s="39" customFormat="1" ht="36" customHeight="1" collapsed="1" x14ac:dyDescent="0.35">
      <c r="A2372" s="24">
        <f>A2370+1</f>
        <v>1009</v>
      </c>
      <c r="B2372" s="25" t="s">
        <v>66</v>
      </c>
      <c r="C2372" s="26" t="s">
        <v>67</v>
      </c>
      <c r="D2372" s="40" t="s">
        <v>188</v>
      </c>
      <c r="E2372" s="64"/>
      <c r="F2372" s="34"/>
      <c r="G2372" s="35"/>
      <c r="H2372" s="36"/>
      <c r="I2372" s="37"/>
      <c r="J2372" s="37"/>
      <c r="K2372" s="38"/>
      <c r="L2372" s="38"/>
      <c r="M2372" s="38"/>
      <c r="N2372" s="36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</row>
    <row r="2373" spans="1:28" s="58" customFormat="1" ht="30" hidden="1" customHeight="1" outlineLevel="1" x14ac:dyDescent="0.4">
      <c r="A2373" s="54"/>
      <c r="B2373" s="48" t="s">
        <v>189</v>
      </c>
      <c r="C2373" s="49" t="s">
        <v>14</v>
      </c>
      <c r="D2373" s="65">
        <f>(36.57)*2/1000</f>
        <v>7.3139999999999997E-2</v>
      </c>
      <c r="E2373" s="51">
        <v>7.2999999999999995E-2</v>
      </c>
      <c r="F2373" s="57"/>
    </row>
    <row r="2374" spans="1:28" s="58" customFormat="1" ht="37.5" customHeight="1" collapsed="1" x14ac:dyDescent="0.4">
      <c r="A2374" s="24">
        <f>A2372+1</f>
        <v>1010</v>
      </c>
      <c r="B2374" s="59" t="s">
        <v>138</v>
      </c>
      <c r="C2374" s="70" t="s">
        <v>67</v>
      </c>
      <c r="D2374" s="40" t="s">
        <v>188</v>
      </c>
      <c r="E2374" s="66"/>
      <c r="F2374" s="57"/>
    </row>
    <row r="2375" spans="1:28" ht="36" customHeight="1" x14ac:dyDescent="0.35">
      <c r="A2375" s="24">
        <f>A2374+1</f>
        <v>1011</v>
      </c>
      <c r="B2375" s="59" t="s">
        <v>72</v>
      </c>
      <c r="C2375" s="26" t="s">
        <v>29</v>
      </c>
      <c r="D2375" s="67">
        <f>((0.548*29)+4.08)*2</f>
        <v>39.944000000000003</v>
      </c>
      <c r="E2375" s="41"/>
      <c r="F2375" s="42"/>
    </row>
    <row r="2376" spans="1:28" s="58" customFormat="1" ht="30" hidden="1" customHeight="1" outlineLevel="1" x14ac:dyDescent="0.4">
      <c r="A2376" s="54"/>
      <c r="B2376" s="48" t="s">
        <v>73</v>
      </c>
      <c r="C2376" s="49" t="s">
        <v>74</v>
      </c>
      <c r="D2376" s="68">
        <f>3.31*33.1</f>
        <v>109.56100000000001</v>
      </c>
      <c r="E2376" s="69">
        <v>0.11</v>
      </c>
      <c r="F2376" s="57"/>
    </row>
    <row r="2377" spans="1:28" ht="36" customHeight="1" collapsed="1" x14ac:dyDescent="0.35">
      <c r="A2377" s="24">
        <f>A2375+1</f>
        <v>1012</v>
      </c>
      <c r="B2377" s="59" t="s">
        <v>75</v>
      </c>
      <c r="C2377" s="26" t="s">
        <v>29</v>
      </c>
      <c r="D2377" s="67">
        <f>((0.548*29)+4.08)*2</f>
        <v>39.944000000000003</v>
      </c>
      <c r="E2377" s="41"/>
      <c r="F2377" s="42"/>
    </row>
    <row r="2378" spans="1:28" ht="36" customHeight="1" x14ac:dyDescent="0.35">
      <c r="A2378" s="24">
        <f>A2377+1</f>
        <v>1013</v>
      </c>
      <c r="B2378" s="59" t="s">
        <v>76</v>
      </c>
      <c r="C2378" s="26" t="s">
        <v>29</v>
      </c>
      <c r="D2378" s="67">
        <f>((0.548*29)+4.08)*2</f>
        <v>39.944000000000003</v>
      </c>
      <c r="E2378" s="41"/>
      <c r="F2378" s="42"/>
    </row>
    <row r="2379" spans="1:28" s="58" customFormat="1" ht="30" customHeight="1" x14ac:dyDescent="0.4">
      <c r="A2379" s="24">
        <f>A2378+1</f>
        <v>1014</v>
      </c>
      <c r="B2379" s="59" t="s">
        <v>77</v>
      </c>
      <c r="C2379" s="70" t="s">
        <v>29</v>
      </c>
      <c r="D2379" s="67">
        <f>((0.548*29)+4.08)*2</f>
        <v>39.944000000000003</v>
      </c>
      <c r="E2379" s="66"/>
      <c r="F2379" s="57"/>
    </row>
    <row r="2380" spans="1:28" s="58" customFormat="1" ht="30" hidden="1" customHeight="1" outlineLevel="1" x14ac:dyDescent="0.4">
      <c r="A2380" s="54"/>
      <c r="B2380" s="48" t="s">
        <v>78</v>
      </c>
      <c r="C2380" s="49" t="s">
        <v>74</v>
      </c>
      <c r="D2380" s="68">
        <f>33.1*0.255</f>
        <v>8.4405000000000001</v>
      </c>
      <c r="E2380" s="69">
        <v>8.0000000000000002E-3</v>
      </c>
      <c r="F2380" s="57"/>
    </row>
    <row r="2381" spans="1:28" s="58" customFormat="1" ht="30" customHeight="1" collapsed="1" x14ac:dyDescent="0.4">
      <c r="A2381" s="24">
        <f>A2379+1</f>
        <v>1015</v>
      </c>
      <c r="B2381" s="59" t="s">
        <v>79</v>
      </c>
      <c r="C2381" s="70" t="s">
        <v>29</v>
      </c>
      <c r="D2381" s="67">
        <f>((0.548*29)+4.08)*2</f>
        <v>39.944000000000003</v>
      </c>
      <c r="E2381" s="66"/>
      <c r="F2381" s="57"/>
    </row>
    <row r="2382" spans="1:28" s="58" customFormat="1" ht="30" hidden="1" customHeight="1" outlineLevel="1" x14ac:dyDescent="0.4">
      <c r="A2382" s="54"/>
      <c r="B2382" s="48" t="s">
        <v>80</v>
      </c>
      <c r="C2382" s="49" t="s">
        <v>74</v>
      </c>
      <c r="D2382" s="68">
        <f>33.1*0.36*2</f>
        <v>23.832000000000001</v>
      </c>
      <c r="E2382" s="69">
        <v>2.4E-2</v>
      </c>
      <c r="F2382" s="57"/>
    </row>
    <row r="2383" spans="1:28" s="39" customFormat="1" ht="21" customHeight="1" collapsed="1" x14ac:dyDescent="0.35">
      <c r="A2383" s="158" t="s">
        <v>857</v>
      </c>
      <c r="B2383" s="158"/>
      <c r="C2383" s="158"/>
      <c r="D2383" s="158"/>
      <c r="E2383" s="158"/>
      <c r="F2383" s="34"/>
      <c r="G2383" s="35"/>
      <c r="H2383" s="36"/>
      <c r="I2383" s="37"/>
      <c r="J2383" s="37"/>
      <c r="K2383" s="38"/>
      <c r="L2383" s="38"/>
      <c r="M2383" s="38"/>
      <c r="N2383" s="36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</row>
    <row r="2384" spans="1:28" s="33" customFormat="1" ht="31" customHeight="1" x14ac:dyDescent="0.35">
      <c r="A2384" s="24">
        <f>A2375+1</f>
        <v>1012</v>
      </c>
      <c r="B2384" s="59" t="s">
        <v>501</v>
      </c>
      <c r="C2384" s="26" t="s">
        <v>58</v>
      </c>
      <c r="D2384" s="73">
        <v>2</v>
      </c>
      <c r="E2384" s="28"/>
      <c r="F2384" s="29"/>
      <c r="G2384" s="30"/>
      <c r="H2384" s="31"/>
      <c r="I2384" s="30"/>
      <c r="J2384" s="30"/>
      <c r="K2384" s="32"/>
      <c r="L2384" s="32"/>
      <c r="M2384" s="32"/>
      <c r="N2384" s="31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</row>
    <row r="2385" spans="1:28" s="39" customFormat="1" ht="46.3" hidden="1" outlineLevel="1" x14ac:dyDescent="0.35">
      <c r="A2385" s="74"/>
      <c r="B2385" s="48" t="s">
        <v>502</v>
      </c>
      <c r="C2385" s="49" t="s">
        <v>251</v>
      </c>
      <c r="D2385" s="55">
        <v>1</v>
      </c>
      <c r="E2385" s="78">
        <v>2.8000000000000001E-2</v>
      </c>
      <c r="F2385" s="34"/>
      <c r="G2385" s="35"/>
      <c r="H2385" s="36"/>
      <c r="I2385" s="37"/>
      <c r="J2385" s="37"/>
      <c r="K2385" s="38"/>
      <c r="L2385" s="38"/>
      <c r="M2385" s="38"/>
      <c r="N2385" s="36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</row>
    <row r="2386" spans="1:28" ht="30" hidden="1" customHeight="1" outlineLevel="1" x14ac:dyDescent="0.35">
      <c r="A2386" s="47"/>
      <c r="B2386" s="48" t="s">
        <v>636</v>
      </c>
      <c r="C2386" s="49" t="s">
        <v>251</v>
      </c>
      <c r="D2386" s="49">
        <v>1</v>
      </c>
      <c r="E2386" s="78">
        <v>0.01</v>
      </c>
      <c r="F2386" s="42"/>
    </row>
    <row r="2387" spans="1:28" s="58" customFormat="1" ht="30" customHeight="1" collapsed="1" x14ac:dyDescent="0.4">
      <c r="A2387" s="24">
        <f>A2378+1</f>
        <v>1014</v>
      </c>
      <c r="B2387" s="59" t="s">
        <v>194</v>
      </c>
      <c r="C2387" s="70" t="s">
        <v>58</v>
      </c>
      <c r="D2387" s="40">
        <v>2</v>
      </c>
      <c r="E2387" s="66"/>
      <c r="F2387" s="57"/>
    </row>
    <row r="2388" spans="1:28" s="58" customFormat="1" ht="30.9" hidden="1" outlineLevel="1" x14ac:dyDescent="0.4">
      <c r="A2388" s="54"/>
      <c r="B2388" s="48" t="s">
        <v>858</v>
      </c>
      <c r="C2388" s="49" t="s">
        <v>58</v>
      </c>
      <c r="D2388" s="55">
        <v>2</v>
      </c>
      <c r="E2388" s="51">
        <v>2.5999999999999999E-2</v>
      </c>
      <c r="F2388" s="57"/>
    </row>
    <row r="2389" spans="1:28" s="33" customFormat="1" ht="30.9" collapsed="1" x14ac:dyDescent="0.35">
      <c r="A2389" s="24">
        <f>A2387+1</f>
        <v>1015</v>
      </c>
      <c r="B2389" s="71" t="s">
        <v>517</v>
      </c>
      <c r="C2389" s="40" t="s">
        <v>132</v>
      </c>
      <c r="D2389" s="108">
        <v>4.7</v>
      </c>
      <c r="E2389" s="79" t="s">
        <v>151</v>
      </c>
      <c r="F2389" s="29"/>
      <c r="G2389" s="30"/>
      <c r="H2389" s="31"/>
      <c r="I2389" s="30"/>
      <c r="J2389" s="30"/>
      <c r="K2389" s="32"/>
      <c r="L2389" s="32"/>
      <c r="M2389" s="32"/>
      <c r="N2389" s="31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/>
      <c r="AA2389" s="32"/>
      <c r="AB2389" s="32"/>
    </row>
    <row r="2390" spans="1:28" s="39" customFormat="1" ht="36" hidden="1" customHeight="1" outlineLevel="1" x14ac:dyDescent="0.35">
      <c r="A2390" s="74"/>
      <c r="B2390" s="48" t="s">
        <v>518</v>
      </c>
      <c r="C2390" s="49" t="s">
        <v>14</v>
      </c>
      <c r="D2390" s="65">
        <f>4.7*2.76/1000*1.1</f>
        <v>1.4269200000000001E-2</v>
      </c>
      <c r="E2390" s="76"/>
      <c r="F2390" s="34"/>
      <c r="G2390" s="35"/>
      <c r="H2390" s="36"/>
      <c r="I2390" s="37"/>
      <c r="J2390" s="37"/>
      <c r="K2390" s="38"/>
      <c r="L2390" s="38"/>
      <c r="M2390" s="38"/>
      <c r="N2390" s="36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</row>
    <row r="2391" spans="1:28" s="58" customFormat="1" ht="30" hidden="1" customHeight="1" outlineLevel="1" x14ac:dyDescent="0.4">
      <c r="A2391" s="54"/>
      <c r="B2391" s="48" t="s">
        <v>521</v>
      </c>
      <c r="C2391" s="49" t="s">
        <v>58</v>
      </c>
      <c r="D2391" s="55">
        <v>1</v>
      </c>
      <c r="E2391" s="51">
        <v>1E-3</v>
      </c>
      <c r="F2391" s="57"/>
    </row>
    <row r="2392" spans="1:28" s="39" customFormat="1" ht="36" hidden="1" customHeight="1" outlineLevel="1" x14ac:dyDescent="0.35">
      <c r="A2392" s="74"/>
      <c r="B2392" s="48" t="s">
        <v>859</v>
      </c>
      <c r="C2392" s="49" t="s">
        <v>58</v>
      </c>
      <c r="D2392" s="49">
        <v>1</v>
      </c>
      <c r="E2392" s="78">
        <v>1E-3</v>
      </c>
      <c r="F2392" s="34"/>
      <c r="G2392" s="35"/>
      <c r="H2392" s="36"/>
      <c r="I2392" s="37"/>
      <c r="J2392" s="37"/>
      <c r="K2392" s="38"/>
      <c r="L2392" s="38"/>
      <c r="M2392" s="38"/>
      <c r="N2392" s="36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</row>
    <row r="2393" spans="1:28" s="33" customFormat="1" ht="30.9" collapsed="1" x14ac:dyDescent="0.35">
      <c r="A2393" s="24">
        <f>A2389+1</f>
        <v>1016</v>
      </c>
      <c r="B2393" s="71" t="s">
        <v>523</v>
      </c>
      <c r="C2393" s="40" t="s">
        <v>132</v>
      </c>
      <c r="D2393" s="108">
        <v>3.2</v>
      </c>
      <c r="E2393" s="79" t="s">
        <v>151</v>
      </c>
      <c r="F2393" s="29"/>
      <c r="G2393" s="30"/>
      <c r="H2393" s="31"/>
      <c r="I2393" s="30"/>
      <c r="J2393" s="30"/>
      <c r="K2393" s="32"/>
      <c r="L2393" s="32"/>
      <c r="M2393" s="32"/>
      <c r="N2393" s="31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2"/>
      <c r="AA2393" s="32"/>
      <c r="AB2393" s="32"/>
    </row>
    <row r="2394" spans="1:28" s="39" customFormat="1" ht="36" hidden="1" customHeight="1" outlineLevel="1" x14ac:dyDescent="0.35">
      <c r="A2394" s="74"/>
      <c r="B2394" s="48" t="s">
        <v>524</v>
      </c>
      <c r="C2394" s="49" t="s">
        <v>14</v>
      </c>
      <c r="D2394" s="65">
        <f>3.2*5.23/1000*1.1</f>
        <v>1.8409600000000002E-2</v>
      </c>
      <c r="E2394" s="76"/>
      <c r="F2394" s="34"/>
      <c r="G2394" s="35"/>
      <c r="H2394" s="36"/>
      <c r="I2394" s="37"/>
      <c r="J2394" s="37"/>
      <c r="K2394" s="38"/>
      <c r="L2394" s="38"/>
      <c r="M2394" s="38"/>
      <c r="N2394" s="36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</row>
    <row r="2395" spans="1:28" s="58" customFormat="1" ht="30" hidden="1" customHeight="1" outlineLevel="1" x14ac:dyDescent="0.4">
      <c r="A2395" s="54"/>
      <c r="B2395" s="48" t="s">
        <v>525</v>
      </c>
      <c r="C2395" s="49" t="s">
        <v>58</v>
      </c>
      <c r="D2395" s="55">
        <v>2</v>
      </c>
      <c r="E2395" s="51">
        <v>2E-3</v>
      </c>
      <c r="F2395" s="57"/>
    </row>
    <row r="2396" spans="1:28" s="39" customFormat="1" ht="36" hidden="1" customHeight="1" outlineLevel="1" x14ac:dyDescent="0.35">
      <c r="A2396" s="74"/>
      <c r="B2396" s="48" t="s">
        <v>834</v>
      </c>
      <c r="C2396" s="49" t="s">
        <v>58</v>
      </c>
      <c r="D2396" s="49">
        <v>2</v>
      </c>
      <c r="E2396" s="78">
        <v>1E-3</v>
      </c>
      <c r="F2396" s="34"/>
      <c r="G2396" s="35"/>
      <c r="H2396" s="36"/>
      <c r="I2396" s="37"/>
      <c r="J2396" s="37"/>
      <c r="K2396" s="38"/>
      <c r="L2396" s="38"/>
      <c r="M2396" s="38"/>
      <c r="N2396" s="36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</row>
    <row r="2397" spans="1:28" s="39" customFormat="1" ht="36" hidden="1" customHeight="1" outlineLevel="1" x14ac:dyDescent="0.35">
      <c r="A2397" s="74"/>
      <c r="B2397" s="48" t="s">
        <v>527</v>
      </c>
      <c r="C2397" s="49" t="s">
        <v>58</v>
      </c>
      <c r="D2397" s="49">
        <v>1</v>
      </c>
      <c r="E2397" s="78">
        <v>4.0000000000000001E-3</v>
      </c>
      <c r="F2397" s="34"/>
      <c r="G2397" s="35"/>
      <c r="H2397" s="36"/>
      <c r="I2397" s="37"/>
      <c r="J2397" s="37"/>
      <c r="K2397" s="38"/>
      <c r="L2397" s="38"/>
      <c r="M2397" s="38"/>
      <c r="N2397" s="36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</row>
    <row r="2398" spans="1:28" s="33" customFormat="1" ht="31" customHeight="1" collapsed="1" x14ac:dyDescent="0.35">
      <c r="A2398" s="24">
        <f>A2393+1</f>
        <v>1017</v>
      </c>
      <c r="B2398" s="71" t="s">
        <v>839</v>
      </c>
      <c r="C2398" s="40" t="s">
        <v>132</v>
      </c>
      <c r="D2398" s="108">
        <v>2.1</v>
      </c>
      <c r="E2398" s="28"/>
      <c r="F2398" s="29"/>
      <c r="G2398" s="30"/>
      <c r="H2398" s="31"/>
      <c r="I2398" s="30"/>
      <c r="J2398" s="30"/>
      <c r="K2398" s="32"/>
      <c r="L2398" s="32"/>
      <c r="M2398" s="32"/>
      <c r="N2398" s="31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2"/>
      <c r="AA2398" s="32"/>
      <c r="AB2398" s="32"/>
    </row>
    <row r="2399" spans="1:28" s="39" customFormat="1" ht="46.3" hidden="1" outlineLevel="1" x14ac:dyDescent="0.35">
      <c r="A2399" s="74"/>
      <c r="B2399" s="48" t="s">
        <v>840</v>
      </c>
      <c r="C2399" s="49" t="s">
        <v>14</v>
      </c>
      <c r="D2399" s="65">
        <f>2.1*5.23/1000*1.1</f>
        <v>1.2081300000000001E-2</v>
      </c>
      <c r="E2399" s="76"/>
      <c r="F2399" s="34"/>
      <c r="G2399" s="35"/>
      <c r="H2399" s="36"/>
      <c r="I2399" s="37"/>
      <c r="J2399" s="37"/>
      <c r="K2399" s="38"/>
      <c r="L2399" s="38"/>
      <c r="M2399" s="38"/>
      <c r="N2399" s="36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</row>
    <row r="2400" spans="1:28" s="58" customFormat="1" ht="30" customHeight="1" collapsed="1" x14ac:dyDescent="0.4">
      <c r="A2400" s="24">
        <f>A2398+1</f>
        <v>1018</v>
      </c>
      <c r="B2400" s="59" t="s">
        <v>158</v>
      </c>
      <c r="C2400" s="70" t="s">
        <v>67</v>
      </c>
      <c r="D2400" s="40" t="s">
        <v>860</v>
      </c>
      <c r="E2400" s="66"/>
      <c r="F2400" s="57"/>
    </row>
    <row r="2401" spans="1:203" s="58" customFormat="1" ht="30" hidden="1" customHeight="1" outlineLevel="1" x14ac:dyDescent="0.4">
      <c r="A2401" s="54"/>
      <c r="B2401" s="48" t="s">
        <v>209</v>
      </c>
      <c r="C2401" s="49" t="s">
        <v>58</v>
      </c>
      <c r="D2401" s="55">
        <v>3</v>
      </c>
      <c r="E2401" s="51">
        <v>3.0000000000000001E-3</v>
      </c>
      <c r="F2401" s="57"/>
    </row>
    <row r="2402" spans="1:203" s="58" customFormat="1" ht="30" hidden="1" customHeight="1" outlineLevel="1" x14ac:dyDescent="0.4">
      <c r="A2402" s="54"/>
      <c r="B2402" s="48" t="s">
        <v>210</v>
      </c>
      <c r="C2402" s="49" t="s">
        <v>58</v>
      </c>
      <c r="D2402" s="55">
        <v>2</v>
      </c>
      <c r="E2402" s="51">
        <v>4.0000000000000001E-3</v>
      </c>
      <c r="F2402" s="57"/>
    </row>
    <row r="2403" spans="1:203" s="58" customFormat="1" ht="30" customHeight="1" collapsed="1" x14ac:dyDescent="0.4">
      <c r="A2403" s="24">
        <f>A2400+1</f>
        <v>1019</v>
      </c>
      <c r="B2403" s="71" t="s">
        <v>240</v>
      </c>
      <c r="C2403" s="40" t="s">
        <v>58</v>
      </c>
      <c r="D2403" s="82">
        <v>2</v>
      </c>
      <c r="E2403" s="66"/>
      <c r="F2403" s="57"/>
    </row>
    <row r="2404" spans="1:203" s="58" customFormat="1" ht="30" hidden="1" customHeight="1" outlineLevel="1" x14ac:dyDescent="0.4">
      <c r="A2404" s="54"/>
      <c r="B2404" s="48" t="s">
        <v>241</v>
      </c>
      <c r="C2404" s="49" t="s">
        <v>14</v>
      </c>
      <c r="D2404" s="65">
        <f>0.6*1.88*2/1000</f>
        <v>2.2559999999999998E-3</v>
      </c>
      <c r="E2404" s="51"/>
      <c r="F2404" s="57"/>
    </row>
    <row r="2405" spans="1:203" s="58" customFormat="1" ht="30" hidden="1" customHeight="1" outlineLevel="1" x14ac:dyDescent="0.4">
      <c r="A2405" s="54"/>
      <c r="B2405" s="48" t="s">
        <v>242</v>
      </c>
      <c r="C2405" s="49" t="s">
        <v>58</v>
      </c>
      <c r="D2405" s="55">
        <f>4*2</f>
        <v>8</v>
      </c>
      <c r="E2405" s="51"/>
      <c r="F2405" s="57"/>
    </row>
    <row r="2406" spans="1:203" s="58" customFormat="1" ht="30" hidden="1" customHeight="1" outlineLevel="1" x14ac:dyDescent="0.4">
      <c r="A2406" s="54"/>
      <c r="B2406" s="48" t="s">
        <v>243</v>
      </c>
      <c r="C2406" s="49" t="s">
        <v>58</v>
      </c>
      <c r="D2406" s="55">
        <f>12*2</f>
        <v>24</v>
      </c>
      <c r="E2406" s="51"/>
      <c r="F2406" s="57"/>
    </row>
    <row r="2407" spans="1:203" s="58" customFormat="1" ht="30" hidden="1" customHeight="1" outlineLevel="1" x14ac:dyDescent="0.4">
      <c r="A2407" s="54"/>
      <c r="B2407" s="48" t="s">
        <v>244</v>
      </c>
      <c r="C2407" s="49" t="s">
        <v>58</v>
      </c>
      <c r="D2407" s="55">
        <f>4*2</f>
        <v>8</v>
      </c>
      <c r="E2407" s="51"/>
      <c r="F2407" s="57"/>
    </row>
    <row r="2408" spans="1:203" s="58" customFormat="1" ht="30" hidden="1" customHeight="1" outlineLevel="1" x14ac:dyDescent="0.4">
      <c r="A2408" s="54"/>
      <c r="B2408" s="48" t="s">
        <v>245</v>
      </c>
      <c r="C2408" s="49" t="s">
        <v>58</v>
      </c>
      <c r="D2408" s="55">
        <f>8*2</f>
        <v>16</v>
      </c>
      <c r="E2408" s="51"/>
      <c r="F2408" s="57"/>
    </row>
    <row r="2409" spans="1:203" s="58" customFormat="1" ht="30" hidden="1" customHeight="1" outlineLevel="1" x14ac:dyDescent="0.4">
      <c r="A2409" s="54"/>
      <c r="B2409" s="48" t="s">
        <v>246</v>
      </c>
      <c r="C2409" s="49" t="s">
        <v>58</v>
      </c>
      <c r="D2409" s="55">
        <f>16*2</f>
        <v>32</v>
      </c>
      <c r="E2409" s="51"/>
      <c r="F2409" s="57"/>
    </row>
    <row r="2410" spans="1:203" s="58" customFormat="1" ht="30" hidden="1" customHeight="1" outlineLevel="1" x14ac:dyDescent="0.4">
      <c r="A2410" s="54"/>
      <c r="B2410" s="48" t="s">
        <v>247</v>
      </c>
      <c r="C2410" s="49" t="s">
        <v>58</v>
      </c>
      <c r="D2410" s="55">
        <f>16*2</f>
        <v>32</v>
      </c>
      <c r="E2410" s="51"/>
      <c r="F2410" s="57"/>
    </row>
    <row r="2411" spans="1:203" s="43" customFormat="1" ht="36" customHeight="1" collapsed="1" x14ac:dyDescent="0.35">
      <c r="A2411" s="24">
        <f>A2403+1</f>
        <v>1020</v>
      </c>
      <c r="B2411" s="59" t="s">
        <v>72</v>
      </c>
      <c r="C2411" s="26" t="s">
        <v>29</v>
      </c>
      <c r="D2411" s="67">
        <f>((0.032*3.14*4.7)+(0.057*3.14*3.2))</f>
        <v>1.0449920000000001</v>
      </c>
      <c r="E2411" s="41"/>
      <c r="F2411" s="42"/>
      <c r="H2411" s="44"/>
      <c r="K2411" s="45"/>
      <c r="L2411" s="45"/>
      <c r="M2411" s="45"/>
      <c r="N2411" s="44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6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  <c r="BP2411" s="46"/>
      <c r="BQ2411" s="46"/>
      <c r="BR2411" s="46"/>
      <c r="BS2411" s="46"/>
      <c r="BT2411" s="46"/>
      <c r="BU2411" s="46"/>
      <c r="BV2411" s="46"/>
      <c r="BW2411" s="46"/>
      <c r="BX2411" s="46"/>
      <c r="BY2411" s="46"/>
      <c r="BZ2411" s="46"/>
      <c r="CA2411" s="46"/>
      <c r="CB2411" s="46"/>
      <c r="CC2411" s="46"/>
      <c r="CD2411" s="46"/>
      <c r="CE2411" s="46"/>
      <c r="CF2411" s="46"/>
      <c r="CG2411" s="46"/>
      <c r="CH2411" s="46"/>
      <c r="CI2411" s="46"/>
      <c r="CJ2411" s="46"/>
      <c r="CK2411" s="46"/>
      <c r="CL2411" s="46"/>
      <c r="CM2411" s="46"/>
      <c r="CN2411" s="46"/>
      <c r="CO2411" s="46"/>
      <c r="CP2411" s="46"/>
      <c r="CQ2411" s="46"/>
      <c r="CR2411" s="46"/>
      <c r="CS2411" s="46"/>
      <c r="CT2411" s="46"/>
      <c r="CU2411" s="46"/>
      <c r="CV2411" s="46"/>
      <c r="CW2411" s="46"/>
      <c r="CX2411" s="46"/>
      <c r="CY2411" s="46"/>
      <c r="CZ2411" s="46"/>
      <c r="DA2411" s="46"/>
      <c r="DB2411" s="46"/>
      <c r="DC2411" s="46"/>
      <c r="DD2411" s="46"/>
      <c r="DE2411" s="46"/>
      <c r="DF2411" s="46"/>
      <c r="DG2411" s="46"/>
      <c r="DH2411" s="46"/>
      <c r="DI2411" s="46"/>
      <c r="DJ2411" s="46"/>
      <c r="DK2411" s="46"/>
      <c r="DL2411" s="46"/>
      <c r="DM2411" s="46"/>
      <c r="DN2411" s="46"/>
      <c r="DO2411" s="46"/>
      <c r="DP2411" s="46"/>
      <c r="DQ2411" s="46"/>
      <c r="DR2411" s="46"/>
      <c r="DS2411" s="46"/>
      <c r="DT2411" s="46"/>
      <c r="DU2411" s="46"/>
      <c r="DV2411" s="46"/>
      <c r="DW2411" s="46"/>
      <c r="DX2411" s="46"/>
      <c r="DY2411" s="46"/>
      <c r="DZ2411" s="46"/>
      <c r="EA2411" s="46"/>
      <c r="EB2411" s="46"/>
      <c r="EC2411" s="46"/>
      <c r="ED2411" s="46"/>
      <c r="EE2411" s="46"/>
      <c r="EF2411" s="46"/>
      <c r="EG2411" s="46"/>
      <c r="EH2411" s="46"/>
      <c r="EI2411" s="46"/>
      <c r="EJ2411" s="46"/>
      <c r="EK2411" s="46"/>
      <c r="EL2411" s="46"/>
      <c r="EM2411" s="46"/>
      <c r="EN2411" s="46"/>
      <c r="EO2411" s="46"/>
      <c r="EP2411" s="46"/>
      <c r="EQ2411" s="46"/>
      <c r="ER2411" s="46"/>
      <c r="ES2411" s="46"/>
      <c r="ET2411" s="46"/>
      <c r="EU2411" s="46"/>
      <c r="EV2411" s="46"/>
      <c r="EW2411" s="46"/>
      <c r="EX2411" s="46"/>
      <c r="EY2411" s="46"/>
      <c r="EZ2411" s="46"/>
      <c r="FA2411" s="46"/>
      <c r="FB2411" s="46"/>
      <c r="FC2411" s="46"/>
      <c r="FD2411" s="46"/>
      <c r="FE2411" s="46"/>
      <c r="FF2411" s="46"/>
      <c r="FG2411" s="46"/>
      <c r="FH2411" s="46"/>
      <c r="FI2411" s="46"/>
      <c r="FJ2411" s="46"/>
      <c r="FK2411" s="46"/>
      <c r="FL2411" s="46"/>
      <c r="FM2411" s="46"/>
      <c r="FN2411" s="46"/>
      <c r="FO2411" s="46"/>
      <c r="FP2411" s="46"/>
      <c r="FQ2411" s="46"/>
      <c r="FR2411" s="46"/>
      <c r="FS2411" s="46"/>
      <c r="FT2411" s="46"/>
      <c r="FU2411" s="46"/>
      <c r="FV2411" s="46"/>
      <c r="FW2411" s="46"/>
      <c r="FX2411" s="46"/>
      <c r="FY2411" s="46"/>
      <c r="FZ2411" s="46"/>
      <c r="GA2411" s="46"/>
      <c r="GB2411" s="46"/>
      <c r="GC2411" s="46"/>
      <c r="GD2411" s="46"/>
      <c r="GE2411" s="46"/>
      <c r="GF2411" s="46"/>
      <c r="GG2411" s="46"/>
      <c r="GH2411" s="46"/>
      <c r="GI2411" s="46"/>
      <c r="GJ2411" s="46"/>
      <c r="GK2411" s="46"/>
      <c r="GL2411" s="46"/>
      <c r="GM2411" s="46"/>
      <c r="GN2411" s="46"/>
      <c r="GO2411" s="46"/>
      <c r="GP2411" s="46"/>
      <c r="GQ2411" s="46"/>
      <c r="GR2411" s="46"/>
      <c r="GS2411" s="46"/>
      <c r="GT2411" s="46"/>
      <c r="GU2411" s="46"/>
    </row>
    <row r="2412" spans="1:203" s="58" customFormat="1" ht="30" hidden="1" customHeight="1" outlineLevel="1" x14ac:dyDescent="0.4">
      <c r="A2412" s="54"/>
      <c r="B2412" s="48" t="s">
        <v>73</v>
      </c>
      <c r="C2412" s="49" t="s">
        <v>74</v>
      </c>
      <c r="D2412" s="68">
        <f>3.31*D2411</f>
        <v>3.4589235200000004</v>
      </c>
      <c r="E2412" s="69">
        <v>4.0000000000000001E-3</v>
      </c>
      <c r="F2412" s="57"/>
    </row>
    <row r="2413" spans="1:203" s="43" customFormat="1" ht="36" customHeight="1" collapsed="1" x14ac:dyDescent="0.35">
      <c r="A2413" s="24">
        <f>A2411+1</f>
        <v>1021</v>
      </c>
      <c r="B2413" s="59" t="s">
        <v>75</v>
      </c>
      <c r="C2413" s="26" t="s">
        <v>29</v>
      </c>
      <c r="D2413" s="67">
        <f>((0.032*3.14*4.7)+(0.057*3.14*3.2))</f>
        <v>1.0449920000000001</v>
      </c>
      <c r="E2413" s="41"/>
      <c r="F2413" s="42"/>
      <c r="H2413" s="44"/>
      <c r="K2413" s="45"/>
      <c r="L2413" s="45"/>
      <c r="M2413" s="45"/>
      <c r="N2413" s="44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6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  <c r="BP2413" s="46"/>
      <c r="BQ2413" s="46"/>
      <c r="BR2413" s="46"/>
      <c r="BS2413" s="46"/>
      <c r="BT2413" s="46"/>
      <c r="BU2413" s="46"/>
      <c r="BV2413" s="46"/>
      <c r="BW2413" s="46"/>
      <c r="BX2413" s="46"/>
      <c r="BY2413" s="46"/>
      <c r="BZ2413" s="46"/>
      <c r="CA2413" s="46"/>
      <c r="CB2413" s="46"/>
      <c r="CC2413" s="46"/>
      <c r="CD2413" s="46"/>
      <c r="CE2413" s="46"/>
      <c r="CF2413" s="46"/>
      <c r="CG2413" s="46"/>
      <c r="CH2413" s="46"/>
      <c r="CI2413" s="46"/>
      <c r="CJ2413" s="46"/>
      <c r="CK2413" s="46"/>
      <c r="CL2413" s="46"/>
      <c r="CM2413" s="46"/>
      <c r="CN2413" s="46"/>
      <c r="CO2413" s="46"/>
      <c r="CP2413" s="46"/>
      <c r="CQ2413" s="46"/>
      <c r="CR2413" s="46"/>
      <c r="CS2413" s="46"/>
      <c r="CT2413" s="46"/>
      <c r="CU2413" s="46"/>
      <c r="CV2413" s="46"/>
      <c r="CW2413" s="46"/>
      <c r="CX2413" s="46"/>
      <c r="CY2413" s="46"/>
      <c r="CZ2413" s="46"/>
      <c r="DA2413" s="46"/>
      <c r="DB2413" s="46"/>
      <c r="DC2413" s="46"/>
      <c r="DD2413" s="46"/>
      <c r="DE2413" s="46"/>
      <c r="DF2413" s="46"/>
      <c r="DG2413" s="46"/>
      <c r="DH2413" s="46"/>
      <c r="DI2413" s="46"/>
      <c r="DJ2413" s="46"/>
      <c r="DK2413" s="46"/>
      <c r="DL2413" s="46"/>
      <c r="DM2413" s="46"/>
      <c r="DN2413" s="46"/>
      <c r="DO2413" s="46"/>
      <c r="DP2413" s="46"/>
      <c r="DQ2413" s="46"/>
      <c r="DR2413" s="46"/>
      <c r="DS2413" s="46"/>
      <c r="DT2413" s="46"/>
      <c r="DU2413" s="46"/>
      <c r="DV2413" s="46"/>
      <c r="DW2413" s="46"/>
      <c r="DX2413" s="46"/>
      <c r="DY2413" s="46"/>
      <c r="DZ2413" s="46"/>
      <c r="EA2413" s="46"/>
      <c r="EB2413" s="46"/>
      <c r="EC2413" s="46"/>
      <c r="ED2413" s="46"/>
      <c r="EE2413" s="46"/>
      <c r="EF2413" s="46"/>
      <c r="EG2413" s="46"/>
      <c r="EH2413" s="46"/>
      <c r="EI2413" s="46"/>
      <c r="EJ2413" s="46"/>
      <c r="EK2413" s="46"/>
      <c r="EL2413" s="46"/>
      <c r="EM2413" s="46"/>
      <c r="EN2413" s="46"/>
      <c r="EO2413" s="46"/>
      <c r="EP2413" s="46"/>
      <c r="EQ2413" s="46"/>
      <c r="ER2413" s="46"/>
      <c r="ES2413" s="46"/>
      <c r="ET2413" s="46"/>
      <c r="EU2413" s="46"/>
      <c r="EV2413" s="46"/>
      <c r="EW2413" s="46"/>
      <c r="EX2413" s="46"/>
      <c r="EY2413" s="46"/>
      <c r="EZ2413" s="46"/>
      <c r="FA2413" s="46"/>
      <c r="FB2413" s="46"/>
      <c r="FC2413" s="46"/>
      <c r="FD2413" s="46"/>
      <c r="FE2413" s="46"/>
      <c r="FF2413" s="46"/>
      <c r="FG2413" s="46"/>
      <c r="FH2413" s="46"/>
      <c r="FI2413" s="46"/>
      <c r="FJ2413" s="46"/>
      <c r="FK2413" s="46"/>
      <c r="FL2413" s="46"/>
      <c r="FM2413" s="46"/>
      <c r="FN2413" s="46"/>
      <c r="FO2413" s="46"/>
      <c r="FP2413" s="46"/>
      <c r="FQ2413" s="46"/>
      <c r="FR2413" s="46"/>
      <c r="FS2413" s="46"/>
      <c r="FT2413" s="46"/>
      <c r="FU2413" s="46"/>
      <c r="FV2413" s="46"/>
      <c r="FW2413" s="46"/>
      <c r="FX2413" s="46"/>
      <c r="FY2413" s="46"/>
      <c r="FZ2413" s="46"/>
      <c r="GA2413" s="46"/>
      <c r="GB2413" s="46"/>
      <c r="GC2413" s="46"/>
      <c r="GD2413" s="46"/>
      <c r="GE2413" s="46"/>
      <c r="GF2413" s="46"/>
      <c r="GG2413" s="46"/>
      <c r="GH2413" s="46"/>
      <c r="GI2413" s="46"/>
      <c r="GJ2413" s="46"/>
      <c r="GK2413" s="46"/>
      <c r="GL2413" s="46"/>
      <c r="GM2413" s="46"/>
      <c r="GN2413" s="46"/>
      <c r="GO2413" s="46"/>
      <c r="GP2413" s="46"/>
      <c r="GQ2413" s="46"/>
      <c r="GR2413" s="46"/>
      <c r="GS2413" s="46"/>
      <c r="GT2413" s="46"/>
      <c r="GU2413" s="46"/>
    </row>
    <row r="2414" spans="1:203" s="43" customFormat="1" ht="36" customHeight="1" x14ac:dyDescent="0.35">
      <c r="A2414" s="24">
        <f>A2413+1</f>
        <v>1022</v>
      </c>
      <c r="B2414" s="59" t="s">
        <v>76</v>
      </c>
      <c r="C2414" s="26" t="s">
        <v>29</v>
      </c>
      <c r="D2414" s="67">
        <f>((0.032*3.14*4.7)+(0.057*3.14*3.2))</f>
        <v>1.0449920000000001</v>
      </c>
      <c r="E2414" s="41"/>
      <c r="F2414" s="42"/>
      <c r="H2414" s="44"/>
      <c r="K2414" s="45"/>
      <c r="L2414" s="45"/>
      <c r="M2414" s="45"/>
      <c r="N2414" s="44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6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  <c r="BP2414" s="46"/>
      <c r="BQ2414" s="46"/>
      <c r="BR2414" s="46"/>
      <c r="BS2414" s="46"/>
      <c r="BT2414" s="46"/>
      <c r="BU2414" s="46"/>
      <c r="BV2414" s="46"/>
      <c r="BW2414" s="46"/>
      <c r="BX2414" s="46"/>
      <c r="BY2414" s="46"/>
      <c r="BZ2414" s="46"/>
      <c r="CA2414" s="46"/>
      <c r="CB2414" s="46"/>
      <c r="CC2414" s="46"/>
      <c r="CD2414" s="46"/>
      <c r="CE2414" s="46"/>
      <c r="CF2414" s="46"/>
      <c r="CG2414" s="46"/>
      <c r="CH2414" s="46"/>
      <c r="CI2414" s="46"/>
      <c r="CJ2414" s="46"/>
      <c r="CK2414" s="46"/>
      <c r="CL2414" s="46"/>
      <c r="CM2414" s="46"/>
      <c r="CN2414" s="46"/>
      <c r="CO2414" s="46"/>
      <c r="CP2414" s="46"/>
      <c r="CQ2414" s="46"/>
      <c r="CR2414" s="46"/>
      <c r="CS2414" s="46"/>
      <c r="CT2414" s="46"/>
      <c r="CU2414" s="46"/>
      <c r="CV2414" s="46"/>
      <c r="CW2414" s="46"/>
      <c r="CX2414" s="46"/>
      <c r="CY2414" s="46"/>
      <c r="CZ2414" s="46"/>
      <c r="DA2414" s="46"/>
      <c r="DB2414" s="46"/>
      <c r="DC2414" s="46"/>
      <c r="DD2414" s="46"/>
      <c r="DE2414" s="46"/>
      <c r="DF2414" s="46"/>
      <c r="DG2414" s="46"/>
      <c r="DH2414" s="46"/>
      <c r="DI2414" s="46"/>
      <c r="DJ2414" s="46"/>
      <c r="DK2414" s="46"/>
      <c r="DL2414" s="46"/>
      <c r="DM2414" s="46"/>
      <c r="DN2414" s="46"/>
      <c r="DO2414" s="46"/>
      <c r="DP2414" s="46"/>
      <c r="DQ2414" s="46"/>
      <c r="DR2414" s="46"/>
      <c r="DS2414" s="46"/>
      <c r="DT2414" s="46"/>
      <c r="DU2414" s="46"/>
      <c r="DV2414" s="46"/>
      <c r="DW2414" s="46"/>
      <c r="DX2414" s="46"/>
      <c r="DY2414" s="46"/>
      <c r="DZ2414" s="46"/>
      <c r="EA2414" s="46"/>
      <c r="EB2414" s="46"/>
      <c r="EC2414" s="46"/>
      <c r="ED2414" s="46"/>
      <c r="EE2414" s="46"/>
      <c r="EF2414" s="46"/>
      <c r="EG2414" s="46"/>
      <c r="EH2414" s="46"/>
      <c r="EI2414" s="46"/>
      <c r="EJ2414" s="46"/>
      <c r="EK2414" s="46"/>
      <c r="EL2414" s="46"/>
      <c r="EM2414" s="46"/>
      <c r="EN2414" s="46"/>
      <c r="EO2414" s="46"/>
      <c r="EP2414" s="46"/>
      <c r="EQ2414" s="46"/>
      <c r="ER2414" s="46"/>
      <c r="ES2414" s="46"/>
      <c r="ET2414" s="46"/>
      <c r="EU2414" s="46"/>
      <c r="EV2414" s="46"/>
      <c r="EW2414" s="46"/>
      <c r="EX2414" s="46"/>
      <c r="EY2414" s="46"/>
      <c r="EZ2414" s="46"/>
      <c r="FA2414" s="46"/>
      <c r="FB2414" s="46"/>
      <c r="FC2414" s="46"/>
      <c r="FD2414" s="46"/>
      <c r="FE2414" s="46"/>
      <c r="FF2414" s="46"/>
      <c r="FG2414" s="46"/>
      <c r="FH2414" s="46"/>
      <c r="FI2414" s="46"/>
      <c r="FJ2414" s="46"/>
      <c r="FK2414" s="46"/>
      <c r="FL2414" s="46"/>
      <c r="FM2414" s="46"/>
      <c r="FN2414" s="46"/>
      <c r="FO2414" s="46"/>
      <c r="FP2414" s="46"/>
      <c r="FQ2414" s="46"/>
      <c r="FR2414" s="46"/>
      <c r="FS2414" s="46"/>
      <c r="FT2414" s="46"/>
      <c r="FU2414" s="46"/>
      <c r="FV2414" s="46"/>
      <c r="FW2414" s="46"/>
      <c r="FX2414" s="46"/>
      <c r="FY2414" s="46"/>
      <c r="FZ2414" s="46"/>
      <c r="GA2414" s="46"/>
      <c r="GB2414" s="46"/>
      <c r="GC2414" s="46"/>
      <c r="GD2414" s="46"/>
      <c r="GE2414" s="46"/>
      <c r="GF2414" s="46"/>
      <c r="GG2414" s="46"/>
      <c r="GH2414" s="46"/>
      <c r="GI2414" s="46"/>
      <c r="GJ2414" s="46"/>
      <c r="GK2414" s="46"/>
      <c r="GL2414" s="46"/>
      <c r="GM2414" s="46"/>
      <c r="GN2414" s="46"/>
      <c r="GO2414" s="46"/>
      <c r="GP2414" s="46"/>
      <c r="GQ2414" s="46"/>
      <c r="GR2414" s="46"/>
      <c r="GS2414" s="46"/>
      <c r="GT2414" s="46"/>
      <c r="GU2414" s="46"/>
    </row>
    <row r="2415" spans="1:203" s="58" customFormat="1" ht="30" customHeight="1" x14ac:dyDescent="0.4">
      <c r="A2415" s="24">
        <f>A2414+1</f>
        <v>1023</v>
      </c>
      <c r="B2415" s="59" t="s">
        <v>77</v>
      </c>
      <c r="C2415" s="70" t="s">
        <v>29</v>
      </c>
      <c r="D2415" s="67">
        <f>((0.032*3.14*4.7)+(0.057*3.14*3.2))</f>
        <v>1.0449920000000001</v>
      </c>
      <c r="E2415" s="66"/>
      <c r="F2415" s="57"/>
    </row>
    <row r="2416" spans="1:203" s="58" customFormat="1" ht="30" hidden="1" customHeight="1" outlineLevel="1" x14ac:dyDescent="0.4">
      <c r="A2416" s="54"/>
      <c r="B2416" s="48" t="s">
        <v>78</v>
      </c>
      <c r="C2416" s="49" t="s">
        <v>74</v>
      </c>
      <c r="D2416" s="68">
        <f>D2415*0.255</f>
        <v>0.26647296000000004</v>
      </c>
      <c r="E2416" s="69">
        <v>1E-3</v>
      </c>
      <c r="F2416" s="57"/>
    </row>
    <row r="2417" spans="1:28" s="58" customFormat="1" ht="30" customHeight="1" collapsed="1" x14ac:dyDescent="0.4">
      <c r="A2417" s="24">
        <f>A2415+1</f>
        <v>1024</v>
      </c>
      <c r="B2417" s="59" t="s">
        <v>79</v>
      </c>
      <c r="C2417" s="70" t="s">
        <v>29</v>
      </c>
      <c r="D2417" s="67">
        <f>((0.032*3.14*4.7)+(0.057*3.14*3.2))</f>
        <v>1.0449920000000001</v>
      </c>
      <c r="E2417" s="66"/>
      <c r="F2417" s="57"/>
    </row>
    <row r="2418" spans="1:28" s="58" customFormat="1" ht="30" hidden="1" customHeight="1" outlineLevel="1" x14ac:dyDescent="0.4">
      <c r="A2418" s="54"/>
      <c r="B2418" s="48" t="s">
        <v>80</v>
      </c>
      <c r="C2418" s="49" t="s">
        <v>74</v>
      </c>
      <c r="D2418" s="68">
        <f>D2417*0.36*2</f>
        <v>0.7523942400000001</v>
      </c>
      <c r="E2418" s="69"/>
      <c r="F2418" s="57"/>
    </row>
    <row r="2419" spans="1:28" s="58" customFormat="1" ht="30" customHeight="1" collapsed="1" x14ac:dyDescent="0.4">
      <c r="A2419" s="24">
        <f>A2417+1</f>
        <v>1025</v>
      </c>
      <c r="B2419" s="59" t="s">
        <v>368</v>
      </c>
      <c r="C2419" s="70" t="s">
        <v>58</v>
      </c>
      <c r="D2419" s="40">
        <v>4</v>
      </c>
      <c r="E2419" s="66"/>
      <c r="F2419" s="57"/>
    </row>
    <row r="2420" spans="1:28" s="58" customFormat="1" ht="30" hidden="1" customHeight="1" outlineLevel="1" x14ac:dyDescent="0.4">
      <c r="A2420" s="54"/>
      <c r="B2420" s="48" t="s">
        <v>554</v>
      </c>
      <c r="C2420" s="49" t="s">
        <v>58</v>
      </c>
      <c r="D2420" s="75">
        <v>2</v>
      </c>
      <c r="E2420" s="51"/>
      <c r="F2420" s="57"/>
    </row>
    <row r="2421" spans="1:28" s="58" customFormat="1" ht="30" hidden="1" customHeight="1" outlineLevel="1" x14ac:dyDescent="0.4">
      <c r="A2421" s="54"/>
      <c r="B2421" s="48" t="s">
        <v>555</v>
      </c>
      <c r="C2421" s="49" t="s">
        <v>58</v>
      </c>
      <c r="D2421" s="75">
        <v>2</v>
      </c>
      <c r="E2421" s="51"/>
      <c r="F2421" s="57"/>
    </row>
    <row r="2422" spans="1:28" s="58" customFormat="1" ht="46.3" collapsed="1" x14ac:dyDescent="0.4">
      <c r="A2422" s="24">
        <f>A2419+1</f>
        <v>1026</v>
      </c>
      <c r="B2422" s="59" t="s">
        <v>364</v>
      </c>
      <c r="C2422" s="70" t="s">
        <v>19</v>
      </c>
      <c r="D2422" s="67">
        <v>0.17</v>
      </c>
      <c r="E2422" s="66"/>
      <c r="F2422" s="57"/>
    </row>
    <row r="2423" spans="1:28" s="58" customFormat="1" ht="30.9" hidden="1" outlineLevel="1" x14ac:dyDescent="0.4">
      <c r="A2423" s="54"/>
      <c r="B2423" s="48" t="s">
        <v>365</v>
      </c>
      <c r="C2423" s="49" t="s">
        <v>19</v>
      </c>
      <c r="D2423" s="68">
        <v>0.17</v>
      </c>
      <c r="E2423" s="69">
        <v>1E-3</v>
      </c>
      <c r="F2423" s="57"/>
      <c r="J2423" s="58">
        <v>1.08</v>
      </c>
    </row>
    <row r="2424" spans="1:28" s="58" customFormat="1" ht="30" customHeight="1" collapsed="1" x14ac:dyDescent="0.4">
      <c r="A2424" s="24">
        <f>A2422+1</f>
        <v>1027</v>
      </c>
      <c r="B2424" s="59" t="s">
        <v>366</v>
      </c>
      <c r="C2424" s="70" t="s">
        <v>29</v>
      </c>
      <c r="D2424" s="67">
        <v>5.15</v>
      </c>
      <c r="E2424" s="66"/>
      <c r="F2424" s="57"/>
    </row>
    <row r="2425" spans="1:28" s="58" customFormat="1" ht="30" hidden="1" customHeight="1" outlineLevel="1" x14ac:dyDescent="0.4">
      <c r="A2425" s="54"/>
      <c r="B2425" s="48" t="s">
        <v>367</v>
      </c>
      <c r="C2425" s="49" t="s">
        <v>29</v>
      </c>
      <c r="D2425" s="68">
        <v>5.15</v>
      </c>
      <c r="E2425" s="69"/>
      <c r="F2425" s="57"/>
      <c r="J2425" s="58">
        <v>1.22</v>
      </c>
    </row>
    <row r="2426" spans="1:28" ht="30" customHeight="1" collapsed="1" x14ac:dyDescent="0.35">
      <c r="A2426" s="24">
        <f>A2424+1</f>
        <v>1028</v>
      </c>
      <c r="B2426" s="59" t="s">
        <v>560</v>
      </c>
      <c r="C2426" s="70" t="s">
        <v>561</v>
      </c>
      <c r="D2426" s="40">
        <v>6</v>
      </c>
      <c r="E2426" s="66"/>
      <c r="F2426" s="42"/>
    </row>
    <row r="2427" spans="1:28" ht="31" customHeight="1" x14ac:dyDescent="0.35">
      <c r="A2427" s="24">
        <f>A2426+1</f>
        <v>1029</v>
      </c>
      <c r="B2427" s="25" t="s">
        <v>562</v>
      </c>
      <c r="C2427" s="70" t="s">
        <v>561</v>
      </c>
      <c r="D2427" s="26">
        <v>6</v>
      </c>
      <c r="E2427" s="41"/>
      <c r="F2427" s="42"/>
    </row>
    <row r="2428" spans="1:28" ht="30" customHeight="1" x14ac:dyDescent="0.35">
      <c r="A2428" s="24">
        <f t="shared" ref="A2428:A2431" si="13">A2427+1</f>
        <v>1030</v>
      </c>
      <c r="B2428" s="59" t="s">
        <v>565</v>
      </c>
      <c r="C2428" s="70" t="s">
        <v>561</v>
      </c>
      <c r="D2428" s="40">
        <v>6</v>
      </c>
      <c r="E2428" s="66"/>
      <c r="F2428" s="42"/>
    </row>
    <row r="2429" spans="1:28" ht="31" customHeight="1" x14ac:dyDescent="0.35">
      <c r="A2429" s="24">
        <f t="shared" si="13"/>
        <v>1031</v>
      </c>
      <c r="B2429" s="25" t="s">
        <v>566</v>
      </c>
      <c r="C2429" s="70" t="s">
        <v>561</v>
      </c>
      <c r="D2429" s="26">
        <v>6</v>
      </c>
      <c r="E2429" s="41"/>
      <c r="F2429" s="42"/>
    </row>
    <row r="2430" spans="1:28" ht="31" customHeight="1" x14ac:dyDescent="0.35">
      <c r="A2430" s="24">
        <f t="shared" si="13"/>
        <v>1032</v>
      </c>
      <c r="B2430" s="25" t="s">
        <v>569</v>
      </c>
      <c r="C2430" s="89" t="s">
        <v>570</v>
      </c>
      <c r="D2430" s="26">
        <v>12</v>
      </c>
      <c r="E2430" s="41"/>
      <c r="F2430" s="42"/>
    </row>
    <row r="2431" spans="1:28" ht="31" customHeight="1" x14ac:dyDescent="0.35">
      <c r="A2431" s="24">
        <f t="shared" si="13"/>
        <v>1033</v>
      </c>
      <c r="B2431" s="25" t="s">
        <v>571</v>
      </c>
      <c r="C2431" s="89" t="s">
        <v>570</v>
      </c>
      <c r="D2431" s="26">
        <v>12</v>
      </c>
      <c r="E2431" s="41"/>
      <c r="F2431" s="42"/>
    </row>
    <row r="2432" spans="1:28" s="39" customFormat="1" ht="21" customHeight="1" x14ac:dyDescent="0.35">
      <c r="A2432" s="158" t="s">
        <v>861</v>
      </c>
      <c r="B2432" s="158"/>
      <c r="C2432" s="158"/>
      <c r="D2432" s="158"/>
      <c r="E2432" s="158"/>
      <c r="F2432" s="34"/>
      <c r="G2432" s="35"/>
      <c r="H2432" s="36"/>
      <c r="I2432" s="37"/>
      <c r="J2432" s="37"/>
      <c r="K2432" s="38"/>
      <c r="L2432" s="38"/>
      <c r="M2432" s="38"/>
      <c r="N2432" s="36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</row>
    <row r="2433" spans="1:28" s="58" customFormat="1" ht="30" customHeight="1" x14ac:dyDescent="0.4">
      <c r="A2433" s="72">
        <f>A2431+1</f>
        <v>1034</v>
      </c>
      <c r="B2433" s="25" t="s">
        <v>308</v>
      </c>
      <c r="C2433" s="89" t="s">
        <v>19</v>
      </c>
      <c r="D2433" s="105">
        <f>0.7*0.5*40</f>
        <v>14</v>
      </c>
      <c r="E2433" s="91"/>
      <c r="F2433" s="57"/>
    </row>
    <row r="2434" spans="1:28" s="58" customFormat="1" ht="30" customHeight="1" x14ac:dyDescent="0.4">
      <c r="A2434" s="72">
        <f>A2433+1</f>
        <v>1035</v>
      </c>
      <c r="B2434" s="25" t="s">
        <v>309</v>
      </c>
      <c r="C2434" s="89" t="s">
        <v>19</v>
      </c>
      <c r="D2434" s="105">
        <f>0.7*0.5*40</f>
        <v>14</v>
      </c>
      <c r="E2434" s="91"/>
      <c r="F2434" s="57"/>
    </row>
    <row r="2435" spans="1:28" s="58" customFormat="1" ht="30" customHeight="1" x14ac:dyDescent="0.4">
      <c r="A2435" s="24">
        <f>A2434+1</f>
        <v>1036</v>
      </c>
      <c r="B2435" s="25" t="s">
        <v>310</v>
      </c>
      <c r="C2435" s="89" t="s">
        <v>19</v>
      </c>
      <c r="D2435" s="105">
        <f>0.7*0.5*40</f>
        <v>14</v>
      </c>
      <c r="E2435" s="91"/>
      <c r="F2435" s="57"/>
    </row>
    <row r="2436" spans="1:28" s="58" customFormat="1" ht="30" customHeight="1" x14ac:dyDescent="0.4">
      <c r="A2436" s="24">
        <f>A2435+1</f>
        <v>1037</v>
      </c>
      <c r="B2436" s="59" t="s">
        <v>403</v>
      </c>
      <c r="C2436" s="70" t="s">
        <v>132</v>
      </c>
      <c r="D2436" s="40">
        <v>40</v>
      </c>
      <c r="E2436" s="66"/>
      <c r="F2436" s="57"/>
    </row>
    <row r="2437" spans="1:28" s="58" customFormat="1" ht="30" hidden="1" customHeight="1" outlineLevel="1" x14ac:dyDescent="0.4">
      <c r="A2437" s="54"/>
      <c r="B2437" s="48" t="s">
        <v>404</v>
      </c>
      <c r="C2437" s="49" t="s">
        <v>14</v>
      </c>
      <c r="D2437" s="65">
        <f>40*1.26/1000</f>
        <v>5.04E-2</v>
      </c>
      <c r="E2437" s="51">
        <v>0.05</v>
      </c>
      <c r="F2437" s="57"/>
    </row>
    <row r="2438" spans="1:28" ht="36" customHeight="1" collapsed="1" x14ac:dyDescent="0.35">
      <c r="A2438" s="24">
        <f>A2436+1</f>
        <v>1038</v>
      </c>
      <c r="B2438" s="59" t="s">
        <v>405</v>
      </c>
      <c r="C2438" s="26" t="s">
        <v>58</v>
      </c>
      <c r="D2438" s="82">
        <v>4</v>
      </c>
      <c r="E2438" s="41"/>
      <c r="F2438" s="42"/>
    </row>
    <row r="2439" spans="1:28" s="58" customFormat="1" ht="30" hidden="1" customHeight="1" outlineLevel="1" x14ac:dyDescent="0.4">
      <c r="A2439" s="54"/>
      <c r="B2439" s="48" t="s">
        <v>406</v>
      </c>
      <c r="C2439" s="49" t="s">
        <v>14</v>
      </c>
      <c r="D2439" s="65">
        <f>20*1.58/1000</f>
        <v>3.1600000000000003E-2</v>
      </c>
      <c r="E2439" s="51">
        <v>3.2000000000000001E-2</v>
      </c>
      <c r="F2439" s="57"/>
    </row>
    <row r="2440" spans="1:28" s="58" customFormat="1" ht="30" customHeight="1" collapsed="1" x14ac:dyDescent="0.4">
      <c r="A2440" s="24">
        <f>A2438+1</f>
        <v>1039</v>
      </c>
      <c r="B2440" s="71" t="s">
        <v>315</v>
      </c>
      <c r="C2440" s="40" t="s">
        <v>132</v>
      </c>
      <c r="D2440" s="40">
        <v>30</v>
      </c>
      <c r="E2440" s="66"/>
      <c r="F2440" s="57"/>
    </row>
    <row r="2441" spans="1:28" s="58" customFormat="1" ht="30" hidden="1" customHeight="1" outlineLevel="1" x14ac:dyDescent="0.4">
      <c r="A2441" s="87"/>
      <c r="B2441" s="48" t="s">
        <v>314</v>
      </c>
      <c r="C2441" s="75" t="s">
        <v>14</v>
      </c>
      <c r="D2441" s="65">
        <f>30*1.26/1000</f>
        <v>3.78E-2</v>
      </c>
      <c r="E2441" s="88">
        <v>3.7999999999999999E-2</v>
      </c>
      <c r="F2441" s="57"/>
    </row>
    <row r="2442" spans="1:28" ht="36" customHeight="1" collapsed="1" x14ac:dyDescent="0.35">
      <c r="A2442" s="24">
        <f>A2440+1</f>
        <v>1040</v>
      </c>
      <c r="B2442" s="59" t="s">
        <v>316</v>
      </c>
      <c r="C2442" s="26" t="s">
        <v>132</v>
      </c>
      <c r="D2442" s="82">
        <v>10</v>
      </c>
      <c r="E2442" s="41"/>
      <c r="F2442" s="42"/>
    </row>
    <row r="2443" spans="1:28" s="58" customFormat="1" ht="30" hidden="1" customHeight="1" outlineLevel="1" x14ac:dyDescent="0.4">
      <c r="A2443" s="54"/>
      <c r="B2443" s="48" t="s">
        <v>407</v>
      </c>
      <c r="C2443" s="49" t="s">
        <v>132</v>
      </c>
      <c r="D2443" s="55">
        <v>10</v>
      </c>
      <c r="E2443" s="51"/>
      <c r="F2443" s="57"/>
    </row>
    <row r="2444" spans="1:28" s="58" customFormat="1" ht="30" hidden="1" customHeight="1" outlineLevel="1" x14ac:dyDescent="0.4">
      <c r="A2444" s="54"/>
      <c r="B2444" s="48" t="s">
        <v>408</v>
      </c>
      <c r="C2444" s="49" t="s">
        <v>58</v>
      </c>
      <c r="D2444" s="55">
        <v>20</v>
      </c>
      <c r="E2444" s="51"/>
      <c r="F2444" s="57"/>
    </row>
    <row r="2445" spans="1:28" s="58" customFormat="1" ht="30" hidden="1" customHeight="1" outlineLevel="1" x14ac:dyDescent="0.4">
      <c r="A2445" s="54"/>
      <c r="B2445" s="48" t="s">
        <v>409</v>
      </c>
      <c r="C2445" s="49" t="s">
        <v>58</v>
      </c>
      <c r="D2445" s="55">
        <v>20</v>
      </c>
      <c r="E2445" s="51"/>
      <c r="F2445" s="57"/>
    </row>
    <row r="2446" spans="1:28" s="58" customFormat="1" ht="30" hidden="1" customHeight="1" outlineLevel="1" x14ac:dyDescent="0.4">
      <c r="A2446" s="54"/>
      <c r="B2446" s="48" t="s">
        <v>410</v>
      </c>
      <c r="C2446" s="49" t="s">
        <v>58</v>
      </c>
      <c r="D2446" s="55">
        <v>20</v>
      </c>
      <c r="E2446" s="51"/>
      <c r="F2446" s="57"/>
    </row>
    <row r="2447" spans="1:28" s="58" customFormat="1" ht="30" hidden="1" customHeight="1" outlineLevel="1" x14ac:dyDescent="0.4">
      <c r="A2447" s="54"/>
      <c r="B2447" s="48" t="s">
        <v>411</v>
      </c>
      <c r="C2447" s="49" t="s">
        <v>58</v>
      </c>
      <c r="D2447" s="55">
        <v>40</v>
      </c>
      <c r="E2447" s="51"/>
      <c r="F2447" s="57"/>
    </row>
    <row r="2448" spans="1:28" s="39" customFormat="1" ht="21" customHeight="1" collapsed="1" x14ac:dyDescent="0.35">
      <c r="A2448" s="158" t="s">
        <v>862</v>
      </c>
      <c r="B2448" s="158"/>
      <c r="C2448" s="158"/>
      <c r="D2448" s="158"/>
      <c r="E2448" s="158"/>
      <c r="F2448" s="34"/>
      <c r="G2448" s="35"/>
      <c r="H2448" s="36"/>
      <c r="I2448" s="37"/>
      <c r="J2448" s="37"/>
      <c r="K2448" s="38"/>
      <c r="L2448" s="38"/>
      <c r="M2448" s="38"/>
      <c r="N2448" s="36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</row>
    <row r="2449" spans="1:28" s="58" customFormat="1" ht="30" customHeight="1" x14ac:dyDescent="0.4">
      <c r="A2449" s="24">
        <f>A2442+1</f>
        <v>1041</v>
      </c>
      <c r="B2449" s="25" t="s">
        <v>431</v>
      </c>
      <c r="C2449" s="89" t="s">
        <v>132</v>
      </c>
      <c r="D2449" s="90">
        <v>135</v>
      </c>
      <c r="E2449" s="91"/>
      <c r="F2449" s="57"/>
    </row>
    <row r="2450" spans="1:28" s="58" customFormat="1" ht="30" hidden="1" customHeight="1" outlineLevel="1" x14ac:dyDescent="0.4">
      <c r="A2450" s="87"/>
      <c r="B2450" s="48" t="s">
        <v>863</v>
      </c>
      <c r="C2450" s="75" t="s">
        <v>132</v>
      </c>
      <c r="D2450" s="74">
        <v>135</v>
      </c>
      <c r="E2450" s="88">
        <v>4.5999999999999999E-2</v>
      </c>
      <c r="F2450" s="57"/>
    </row>
    <row r="2451" spans="1:28" s="58" customFormat="1" ht="30" hidden="1" customHeight="1" outlineLevel="1" x14ac:dyDescent="0.4">
      <c r="A2451" s="87"/>
      <c r="B2451" s="48" t="s">
        <v>441</v>
      </c>
      <c r="C2451" s="75" t="s">
        <v>58</v>
      </c>
      <c r="D2451" s="74">
        <v>2</v>
      </c>
      <c r="E2451" s="88"/>
      <c r="F2451" s="57"/>
    </row>
    <row r="2452" spans="1:28" s="58" customFormat="1" ht="30" customHeight="1" collapsed="1" x14ac:dyDescent="0.4">
      <c r="A2452" s="24">
        <f>A2449+1</f>
        <v>1042</v>
      </c>
      <c r="B2452" s="25" t="s">
        <v>316</v>
      </c>
      <c r="C2452" s="89" t="s">
        <v>132</v>
      </c>
      <c r="D2452" s="96">
        <v>10</v>
      </c>
      <c r="E2452" s="98"/>
      <c r="F2452" s="57"/>
      <c r="O2452" s="58" t="s">
        <v>442</v>
      </c>
    </row>
    <row r="2453" spans="1:28" s="58" customFormat="1" ht="30" hidden="1" customHeight="1" outlineLevel="1" x14ac:dyDescent="0.4">
      <c r="A2453" s="87"/>
      <c r="B2453" s="48" t="s">
        <v>317</v>
      </c>
      <c r="C2453" s="75" t="s">
        <v>132</v>
      </c>
      <c r="D2453" s="74">
        <v>10</v>
      </c>
      <c r="E2453" s="93"/>
      <c r="F2453" s="57"/>
    </row>
    <row r="2454" spans="1:28" s="58" customFormat="1" ht="30" customHeight="1" collapsed="1" x14ac:dyDescent="0.4">
      <c r="A2454" s="24">
        <f>A2452+1</f>
        <v>1043</v>
      </c>
      <c r="B2454" s="25" t="s">
        <v>340</v>
      </c>
      <c r="C2454" s="89" t="s">
        <v>132</v>
      </c>
      <c r="D2454" s="90">
        <v>10</v>
      </c>
      <c r="E2454" s="99"/>
      <c r="F2454" s="57"/>
    </row>
    <row r="2455" spans="1:28" s="58" customFormat="1" ht="30" hidden="1" customHeight="1" outlineLevel="1" x14ac:dyDescent="0.4">
      <c r="A2455" s="87"/>
      <c r="B2455" s="48" t="s">
        <v>341</v>
      </c>
      <c r="C2455" s="75" t="s">
        <v>14</v>
      </c>
      <c r="D2455" s="77">
        <f>10*1.66/1000*1.1</f>
        <v>1.8259999999999998E-2</v>
      </c>
      <c r="E2455" s="88">
        <v>1.7999999999999999E-2</v>
      </c>
      <c r="F2455" s="57"/>
    </row>
    <row r="2456" spans="1:28" s="58" customFormat="1" ht="30" customHeight="1" collapsed="1" x14ac:dyDescent="0.4">
      <c r="A2456" s="24">
        <f>A2454+1</f>
        <v>1044</v>
      </c>
      <c r="B2456" s="25" t="s">
        <v>284</v>
      </c>
      <c r="C2456" s="89" t="s">
        <v>132</v>
      </c>
      <c r="D2456" s="90">
        <v>5</v>
      </c>
      <c r="E2456" s="91"/>
      <c r="F2456" s="57"/>
    </row>
    <row r="2457" spans="1:28" s="58" customFormat="1" ht="30" hidden="1" customHeight="1" outlineLevel="1" x14ac:dyDescent="0.4">
      <c r="A2457" s="87"/>
      <c r="B2457" s="48" t="s">
        <v>342</v>
      </c>
      <c r="C2457" s="75" t="s">
        <v>132</v>
      </c>
      <c r="D2457" s="74">
        <v>5</v>
      </c>
      <c r="E2457" s="88"/>
      <c r="F2457" s="57"/>
    </row>
    <row r="2458" spans="1:28" s="58" customFormat="1" ht="30" hidden="1" customHeight="1" outlineLevel="1" x14ac:dyDescent="0.4">
      <c r="A2458" s="87"/>
      <c r="B2458" s="48" t="s">
        <v>343</v>
      </c>
      <c r="C2458" s="75" t="s">
        <v>132</v>
      </c>
      <c r="D2458" s="74">
        <v>2</v>
      </c>
      <c r="E2458" s="88"/>
      <c r="F2458" s="57"/>
    </row>
    <row r="2459" spans="1:28" ht="31" customHeight="1" collapsed="1" x14ac:dyDescent="0.35">
      <c r="A2459" s="24">
        <f>A2456+1</f>
        <v>1045</v>
      </c>
      <c r="B2459" s="25" t="s">
        <v>592</v>
      </c>
      <c r="C2459" s="89" t="s">
        <v>58</v>
      </c>
      <c r="D2459" s="26">
        <v>1</v>
      </c>
      <c r="E2459" s="41"/>
      <c r="F2459" s="42"/>
    </row>
    <row r="2460" spans="1:28" ht="30" hidden="1" customHeight="1" outlineLevel="1" x14ac:dyDescent="0.35">
      <c r="A2460" s="47"/>
      <c r="B2460" s="48" t="s">
        <v>593</v>
      </c>
      <c r="C2460" s="49" t="s">
        <v>58</v>
      </c>
      <c r="D2460" s="49">
        <v>5</v>
      </c>
      <c r="E2460" s="78"/>
      <c r="F2460" s="42"/>
    </row>
    <row r="2461" spans="1:28" s="58" customFormat="1" ht="30" customHeight="1" collapsed="1" x14ac:dyDescent="0.4">
      <c r="A2461" s="24">
        <f>A2459+1</f>
        <v>1046</v>
      </c>
      <c r="B2461" s="71" t="s">
        <v>315</v>
      </c>
      <c r="C2461" s="40" t="s">
        <v>132</v>
      </c>
      <c r="D2461" s="82">
        <v>4</v>
      </c>
      <c r="E2461" s="66"/>
      <c r="F2461" s="57"/>
    </row>
    <row r="2462" spans="1:28" s="58" customFormat="1" ht="30" hidden="1" customHeight="1" outlineLevel="1" x14ac:dyDescent="0.4">
      <c r="A2462" s="87"/>
      <c r="B2462" s="48" t="s">
        <v>314</v>
      </c>
      <c r="C2462" s="75" t="s">
        <v>14</v>
      </c>
      <c r="D2462" s="65">
        <f>4*1.26/1000</f>
        <v>5.0400000000000002E-3</v>
      </c>
      <c r="E2462" s="88">
        <v>5.0000000000000001E-3</v>
      </c>
      <c r="F2462" s="57"/>
    </row>
    <row r="2463" spans="1:28" s="39" customFormat="1" ht="30" customHeight="1" collapsed="1" x14ac:dyDescent="0.35">
      <c r="A2463" s="153" t="s">
        <v>864</v>
      </c>
      <c r="B2463" s="153"/>
      <c r="C2463" s="153"/>
      <c r="D2463" s="153"/>
      <c r="E2463" s="153"/>
      <c r="F2463" s="34"/>
      <c r="G2463" s="35"/>
      <c r="H2463" s="36"/>
      <c r="I2463" s="37"/>
      <c r="J2463" s="37"/>
      <c r="K2463" s="38"/>
      <c r="L2463" s="38"/>
      <c r="M2463" s="38"/>
      <c r="N2463" s="36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</row>
    <row r="2464" spans="1:28" s="39" customFormat="1" ht="21" customHeight="1" x14ac:dyDescent="0.35">
      <c r="A2464" s="158" t="s">
        <v>865</v>
      </c>
      <c r="B2464" s="158"/>
      <c r="C2464" s="158"/>
      <c r="D2464" s="158"/>
      <c r="E2464" s="158"/>
      <c r="F2464" s="34"/>
      <c r="G2464" s="35"/>
      <c r="H2464" s="36"/>
      <c r="I2464" s="37"/>
      <c r="J2464" s="37"/>
      <c r="K2464" s="38"/>
      <c r="L2464" s="38"/>
      <c r="M2464" s="38"/>
      <c r="N2464" s="36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</row>
    <row r="2465" spans="1:203" ht="31" customHeight="1" x14ac:dyDescent="0.35">
      <c r="A2465" s="24">
        <f>A2461+1</f>
        <v>1047</v>
      </c>
      <c r="B2465" s="25" t="s">
        <v>652</v>
      </c>
      <c r="C2465" s="89" t="s">
        <v>58</v>
      </c>
      <c r="D2465" s="26">
        <v>4</v>
      </c>
      <c r="E2465" s="41"/>
      <c r="F2465" s="42"/>
    </row>
    <row r="2466" spans="1:203" s="45" customFormat="1" ht="92.6" hidden="1" outlineLevel="1" x14ac:dyDescent="0.35">
      <c r="A2466" s="47"/>
      <c r="B2466" s="48" t="s">
        <v>653</v>
      </c>
      <c r="C2466" s="49" t="s">
        <v>58</v>
      </c>
      <c r="D2466" s="49">
        <v>2</v>
      </c>
      <c r="E2466" s="78"/>
      <c r="F2466" s="42"/>
      <c r="G2466" s="43"/>
      <c r="H2466" s="44"/>
      <c r="I2466" s="43"/>
      <c r="J2466" s="43"/>
      <c r="N2466" s="44"/>
      <c r="AC2466" s="46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  <c r="BP2466" s="46"/>
      <c r="BQ2466" s="46"/>
      <c r="BR2466" s="46"/>
      <c r="BS2466" s="46"/>
      <c r="BT2466" s="46"/>
      <c r="BU2466" s="46"/>
      <c r="BV2466" s="46"/>
      <c r="BW2466" s="46"/>
      <c r="BX2466" s="46"/>
      <c r="BY2466" s="46"/>
      <c r="BZ2466" s="46"/>
      <c r="CA2466" s="46"/>
      <c r="CB2466" s="46"/>
      <c r="CC2466" s="46"/>
      <c r="CD2466" s="46"/>
      <c r="CE2466" s="46"/>
      <c r="CF2466" s="46"/>
      <c r="CG2466" s="46"/>
      <c r="CH2466" s="46"/>
      <c r="CI2466" s="46"/>
      <c r="CJ2466" s="46"/>
      <c r="CK2466" s="46"/>
      <c r="CL2466" s="46"/>
      <c r="CM2466" s="46"/>
      <c r="CN2466" s="46"/>
      <c r="CO2466" s="46"/>
      <c r="CP2466" s="46"/>
      <c r="CQ2466" s="46"/>
      <c r="CR2466" s="46"/>
      <c r="CS2466" s="46"/>
      <c r="CT2466" s="46"/>
      <c r="CU2466" s="46"/>
      <c r="CV2466" s="46"/>
      <c r="CW2466" s="46"/>
      <c r="CX2466" s="46"/>
      <c r="CY2466" s="46"/>
      <c r="CZ2466" s="46"/>
      <c r="DA2466" s="46"/>
      <c r="DB2466" s="46"/>
      <c r="DC2466" s="46"/>
      <c r="DD2466" s="46"/>
      <c r="DE2466" s="46"/>
      <c r="DF2466" s="46"/>
      <c r="DG2466" s="46"/>
      <c r="DH2466" s="46"/>
      <c r="DI2466" s="46"/>
      <c r="DJ2466" s="46"/>
      <c r="DK2466" s="46"/>
      <c r="DL2466" s="46"/>
      <c r="DM2466" s="46"/>
      <c r="DN2466" s="46"/>
      <c r="DO2466" s="46"/>
      <c r="DP2466" s="46"/>
      <c r="DQ2466" s="46"/>
      <c r="DR2466" s="46"/>
      <c r="DS2466" s="46"/>
      <c r="DT2466" s="46"/>
      <c r="DU2466" s="46"/>
      <c r="DV2466" s="46"/>
      <c r="DW2466" s="46"/>
      <c r="DX2466" s="46"/>
      <c r="DY2466" s="46"/>
      <c r="DZ2466" s="46"/>
      <c r="EA2466" s="46"/>
      <c r="EB2466" s="46"/>
      <c r="EC2466" s="46"/>
      <c r="ED2466" s="46"/>
      <c r="EE2466" s="46"/>
      <c r="EF2466" s="46"/>
      <c r="EG2466" s="46"/>
      <c r="EH2466" s="46"/>
      <c r="EI2466" s="46"/>
      <c r="EJ2466" s="46"/>
      <c r="EK2466" s="46"/>
      <c r="EL2466" s="46"/>
      <c r="EM2466" s="46"/>
      <c r="EN2466" s="46"/>
      <c r="EO2466" s="46"/>
      <c r="EP2466" s="46"/>
      <c r="EQ2466" s="46"/>
      <c r="ER2466" s="46"/>
      <c r="ES2466" s="46"/>
      <c r="ET2466" s="46"/>
      <c r="EU2466" s="46"/>
      <c r="EV2466" s="46"/>
      <c r="EW2466" s="46"/>
      <c r="EX2466" s="46"/>
      <c r="EY2466" s="46"/>
      <c r="EZ2466" s="46"/>
      <c r="FA2466" s="46"/>
      <c r="FB2466" s="46"/>
      <c r="FC2466" s="46"/>
      <c r="FD2466" s="46"/>
      <c r="FE2466" s="46"/>
      <c r="FF2466" s="46"/>
      <c r="FG2466" s="46"/>
      <c r="FH2466" s="46"/>
      <c r="FI2466" s="46"/>
      <c r="FJ2466" s="46"/>
      <c r="FK2466" s="46"/>
      <c r="FL2466" s="46"/>
      <c r="FM2466" s="46"/>
      <c r="FN2466" s="46"/>
      <c r="FO2466" s="46"/>
      <c r="FP2466" s="46"/>
      <c r="FQ2466" s="46"/>
      <c r="FR2466" s="46"/>
      <c r="FS2466" s="46"/>
      <c r="FT2466" s="46"/>
      <c r="FU2466" s="46"/>
      <c r="FV2466" s="46"/>
      <c r="FW2466" s="46"/>
      <c r="FX2466" s="46"/>
      <c r="FY2466" s="46"/>
      <c r="FZ2466" s="46"/>
      <c r="GA2466" s="46"/>
      <c r="GB2466" s="46"/>
      <c r="GC2466" s="46"/>
      <c r="GD2466" s="46"/>
      <c r="GE2466" s="46"/>
      <c r="GF2466" s="46"/>
      <c r="GG2466" s="46"/>
      <c r="GH2466" s="46"/>
      <c r="GI2466" s="46"/>
      <c r="GJ2466" s="46"/>
      <c r="GK2466" s="46"/>
      <c r="GL2466" s="46"/>
      <c r="GM2466" s="46"/>
      <c r="GN2466" s="46"/>
      <c r="GO2466" s="46"/>
      <c r="GP2466" s="46"/>
      <c r="GQ2466" s="46"/>
      <c r="GR2466" s="46"/>
      <c r="GS2466" s="46"/>
      <c r="GT2466" s="46"/>
      <c r="GU2466" s="46"/>
    </row>
    <row r="2467" spans="1:203" s="45" customFormat="1" ht="92.6" hidden="1" outlineLevel="1" x14ac:dyDescent="0.35">
      <c r="A2467" s="47"/>
      <c r="B2467" s="48" t="s">
        <v>866</v>
      </c>
      <c r="C2467" s="49" t="s">
        <v>58</v>
      </c>
      <c r="D2467" s="49">
        <v>2</v>
      </c>
      <c r="E2467" s="78"/>
      <c r="F2467" s="42"/>
      <c r="G2467" s="43"/>
      <c r="H2467" s="44"/>
      <c r="I2467" s="43"/>
      <c r="J2467" s="43"/>
      <c r="N2467" s="44"/>
      <c r="AC2467" s="46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  <c r="BP2467" s="46"/>
      <c r="BQ2467" s="46"/>
      <c r="BR2467" s="46"/>
      <c r="BS2467" s="46"/>
      <c r="BT2467" s="46"/>
      <c r="BU2467" s="46"/>
      <c r="BV2467" s="46"/>
      <c r="BW2467" s="46"/>
      <c r="BX2467" s="46"/>
      <c r="BY2467" s="46"/>
      <c r="BZ2467" s="46"/>
      <c r="CA2467" s="46"/>
      <c r="CB2467" s="46"/>
      <c r="CC2467" s="46"/>
      <c r="CD2467" s="46"/>
      <c r="CE2467" s="46"/>
      <c r="CF2467" s="46"/>
      <c r="CG2467" s="46"/>
      <c r="CH2467" s="46"/>
      <c r="CI2467" s="46"/>
      <c r="CJ2467" s="46"/>
      <c r="CK2467" s="46"/>
      <c r="CL2467" s="46"/>
      <c r="CM2467" s="46"/>
      <c r="CN2467" s="46"/>
      <c r="CO2467" s="46"/>
      <c r="CP2467" s="46"/>
      <c r="CQ2467" s="46"/>
      <c r="CR2467" s="46"/>
      <c r="CS2467" s="46"/>
      <c r="CT2467" s="46"/>
      <c r="CU2467" s="46"/>
      <c r="CV2467" s="46"/>
      <c r="CW2467" s="46"/>
      <c r="CX2467" s="46"/>
      <c r="CY2467" s="46"/>
      <c r="CZ2467" s="46"/>
      <c r="DA2467" s="46"/>
      <c r="DB2467" s="46"/>
      <c r="DC2467" s="46"/>
      <c r="DD2467" s="46"/>
      <c r="DE2467" s="46"/>
      <c r="DF2467" s="46"/>
      <c r="DG2467" s="46"/>
      <c r="DH2467" s="46"/>
      <c r="DI2467" s="46"/>
      <c r="DJ2467" s="46"/>
      <c r="DK2467" s="46"/>
      <c r="DL2467" s="46"/>
      <c r="DM2467" s="46"/>
      <c r="DN2467" s="46"/>
      <c r="DO2467" s="46"/>
      <c r="DP2467" s="46"/>
      <c r="DQ2467" s="46"/>
      <c r="DR2467" s="46"/>
      <c r="DS2467" s="46"/>
      <c r="DT2467" s="46"/>
      <c r="DU2467" s="46"/>
      <c r="DV2467" s="46"/>
      <c r="DW2467" s="46"/>
      <c r="DX2467" s="46"/>
      <c r="DY2467" s="46"/>
      <c r="DZ2467" s="46"/>
      <c r="EA2467" s="46"/>
      <c r="EB2467" s="46"/>
      <c r="EC2467" s="46"/>
      <c r="ED2467" s="46"/>
      <c r="EE2467" s="46"/>
      <c r="EF2467" s="46"/>
      <c r="EG2467" s="46"/>
      <c r="EH2467" s="46"/>
      <c r="EI2467" s="46"/>
      <c r="EJ2467" s="46"/>
      <c r="EK2467" s="46"/>
      <c r="EL2467" s="46"/>
      <c r="EM2467" s="46"/>
      <c r="EN2467" s="46"/>
      <c r="EO2467" s="46"/>
      <c r="EP2467" s="46"/>
      <c r="EQ2467" s="46"/>
      <c r="ER2467" s="46"/>
      <c r="ES2467" s="46"/>
      <c r="ET2467" s="46"/>
      <c r="EU2467" s="46"/>
      <c r="EV2467" s="46"/>
      <c r="EW2467" s="46"/>
      <c r="EX2467" s="46"/>
      <c r="EY2467" s="46"/>
      <c r="EZ2467" s="46"/>
      <c r="FA2467" s="46"/>
      <c r="FB2467" s="46"/>
      <c r="FC2467" s="46"/>
      <c r="FD2467" s="46"/>
      <c r="FE2467" s="46"/>
      <c r="FF2467" s="46"/>
      <c r="FG2467" s="46"/>
      <c r="FH2467" s="46"/>
      <c r="FI2467" s="46"/>
      <c r="FJ2467" s="46"/>
      <c r="FK2467" s="46"/>
      <c r="FL2467" s="46"/>
      <c r="FM2467" s="46"/>
      <c r="FN2467" s="46"/>
      <c r="FO2467" s="46"/>
      <c r="FP2467" s="46"/>
      <c r="FQ2467" s="46"/>
      <c r="FR2467" s="46"/>
      <c r="FS2467" s="46"/>
      <c r="FT2467" s="46"/>
      <c r="FU2467" s="46"/>
      <c r="FV2467" s="46"/>
      <c r="FW2467" s="46"/>
      <c r="FX2467" s="46"/>
      <c r="FY2467" s="46"/>
      <c r="FZ2467" s="46"/>
      <c r="GA2467" s="46"/>
      <c r="GB2467" s="46"/>
      <c r="GC2467" s="46"/>
      <c r="GD2467" s="46"/>
      <c r="GE2467" s="46"/>
      <c r="GF2467" s="46"/>
      <c r="GG2467" s="46"/>
      <c r="GH2467" s="46"/>
      <c r="GI2467" s="46"/>
      <c r="GJ2467" s="46"/>
      <c r="GK2467" s="46"/>
      <c r="GL2467" s="46"/>
      <c r="GM2467" s="46"/>
      <c r="GN2467" s="46"/>
      <c r="GO2467" s="46"/>
      <c r="GP2467" s="46"/>
      <c r="GQ2467" s="46"/>
      <c r="GR2467" s="46"/>
      <c r="GS2467" s="46"/>
      <c r="GT2467" s="46"/>
      <c r="GU2467" s="46"/>
    </row>
    <row r="2468" spans="1:203" s="45" customFormat="1" ht="31" customHeight="1" collapsed="1" x14ac:dyDescent="0.35">
      <c r="A2468" s="24">
        <f>A2465+1</f>
        <v>1048</v>
      </c>
      <c r="B2468" s="25" t="s">
        <v>655</v>
      </c>
      <c r="C2468" s="89" t="s">
        <v>58</v>
      </c>
      <c r="D2468" s="26">
        <v>4</v>
      </c>
      <c r="E2468" s="41"/>
      <c r="F2468" s="42"/>
      <c r="G2468" s="43"/>
      <c r="H2468" s="44"/>
      <c r="I2468" s="43"/>
      <c r="J2468" s="43"/>
      <c r="N2468" s="44"/>
      <c r="AC2468" s="46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  <c r="BP2468" s="46"/>
      <c r="BQ2468" s="46"/>
      <c r="BR2468" s="46"/>
      <c r="BS2468" s="46"/>
      <c r="BT2468" s="46"/>
      <c r="BU2468" s="46"/>
      <c r="BV2468" s="46"/>
      <c r="BW2468" s="46"/>
      <c r="BX2468" s="46"/>
      <c r="BY2468" s="46"/>
      <c r="BZ2468" s="46"/>
      <c r="CA2468" s="46"/>
      <c r="CB2468" s="46"/>
      <c r="CC2468" s="46"/>
      <c r="CD2468" s="46"/>
      <c r="CE2468" s="46"/>
      <c r="CF2468" s="46"/>
      <c r="CG2468" s="46"/>
      <c r="CH2468" s="46"/>
      <c r="CI2468" s="46"/>
      <c r="CJ2468" s="46"/>
      <c r="CK2468" s="46"/>
      <c r="CL2468" s="46"/>
      <c r="CM2468" s="46"/>
      <c r="CN2468" s="46"/>
      <c r="CO2468" s="46"/>
      <c r="CP2468" s="46"/>
      <c r="CQ2468" s="46"/>
      <c r="CR2468" s="46"/>
      <c r="CS2468" s="46"/>
      <c r="CT2468" s="46"/>
      <c r="CU2468" s="46"/>
      <c r="CV2468" s="46"/>
      <c r="CW2468" s="46"/>
      <c r="CX2468" s="46"/>
      <c r="CY2468" s="46"/>
      <c r="CZ2468" s="46"/>
      <c r="DA2468" s="46"/>
      <c r="DB2468" s="46"/>
      <c r="DC2468" s="46"/>
      <c r="DD2468" s="46"/>
      <c r="DE2468" s="46"/>
      <c r="DF2468" s="46"/>
      <c r="DG2468" s="46"/>
      <c r="DH2468" s="46"/>
      <c r="DI2468" s="46"/>
      <c r="DJ2468" s="46"/>
      <c r="DK2468" s="46"/>
      <c r="DL2468" s="46"/>
      <c r="DM2468" s="46"/>
      <c r="DN2468" s="46"/>
      <c r="DO2468" s="46"/>
      <c r="DP2468" s="46"/>
      <c r="DQ2468" s="46"/>
      <c r="DR2468" s="46"/>
      <c r="DS2468" s="46"/>
      <c r="DT2468" s="46"/>
      <c r="DU2468" s="46"/>
      <c r="DV2468" s="46"/>
      <c r="DW2468" s="46"/>
      <c r="DX2468" s="46"/>
      <c r="DY2468" s="46"/>
      <c r="DZ2468" s="46"/>
      <c r="EA2468" s="46"/>
      <c r="EB2468" s="46"/>
      <c r="EC2468" s="46"/>
      <c r="ED2468" s="46"/>
      <c r="EE2468" s="46"/>
      <c r="EF2468" s="46"/>
      <c r="EG2468" s="46"/>
      <c r="EH2468" s="46"/>
      <c r="EI2468" s="46"/>
      <c r="EJ2468" s="46"/>
      <c r="EK2468" s="46"/>
      <c r="EL2468" s="46"/>
      <c r="EM2468" s="46"/>
      <c r="EN2468" s="46"/>
      <c r="EO2468" s="46"/>
      <c r="EP2468" s="46"/>
      <c r="EQ2468" s="46"/>
      <c r="ER2468" s="46"/>
      <c r="ES2468" s="46"/>
      <c r="ET2468" s="46"/>
      <c r="EU2468" s="46"/>
      <c r="EV2468" s="46"/>
      <c r="EW2468" s="46"/>
      <c r="EX2468" s="46"/>
      <c r="EY2468" s="46"/>
      <c r="EZ2468" s="46"/>
      <c r="FA2468" s="46"/>
      <c r="FB2468" s="46"/>
      <c r="FC2468" s="46"/>
      <c r="FD2468" s="46"/>
      <c r="FE2468" s="46"/>
      <c r="FF2468" s="46"/>
      <c r="FG2468" s="46"/>
      <c r="FH2468" s="46"/>
      <c r="FI2468" s="46"/>
      <c r="FJ2468" s="46"/>
      <c r="FK2468" s="46"/>
      <c r="FL2468" s="46"/>
      <c r="FM2468" s="46"/>
      <c r="FN2468" s="46"/>
      <c r="FO2468" s="46"/>
      <c r="FP2468" s="46"/>
      <c r="FQ2468" s="46"/>
      <c r="FR2468" s="46"/>
      <c r="FS2468" s="46"/>
      <c r="FT2468" s="46"/>
      <c r="FU2468" s="46"/>
      <c r="FV2468" s="46"/>
      <c r="FW2468" s="46"/>
      <c r="FX2468" s="46"/>
      <c r="FY2468" s="46"/>
      <c r="FZ2468" s="46"/>
      <c r="GA2468" s="46"/>
      <c r="GB2468" s="46"/>
      <c r="GC2468" s="46"/>
      <c r="GD2468" s="46"/>
      <c r="GE2468" s="46"/>
      <c r="GF2468" s="46"/>
      <c r="GG2468" s="46"/>
      <c r="GH2468" s="46"/>
      <c r="GI2468" s="46"/>
      <c r="GJ2468" s="46"/>
      <c r="GK2468" s="46"/>
      <c r="GL2468" s="46"/>
      <c r="GM2468" s="46"/>
      <c r="GN2468" s="46"/>
      <c r="GO2468" s="46"/>
      <c r="GP2468" s="46"/>
      <c r="GQ2468" s="46"/>
      <c r="GR2468" s="46"/>
      <c r="GS2468" s="46"/>
      <c r="GT2468" s="46"/>
      <c r="GU2468" s="46"/>
    </row>
    <row r="2469" spans="1:203" s="45" customFormat="1" ht="30" hidden="1" customHeight="1" outlineLevel="1" x14ac:dyDescent="0.35">
      <c r="A2469" s="47"/>
      <c r="B2469" s="48" t="s">
        <v>656</v>
      </c>
      <c r="C2469" s="49" t="s">
        <v>251</v>
      </c>
      <c r="D2469" s="49">
        <v>4</v>
      </c>
      <c r="E2469" s="78"/>
      <c r="F2469" s="42"/>
      <c r="G2469" s="43"/>
      <c r="H2469" s="44"/>
      <c r="I2469" s="43"/>
      <c r="J2469" s="43"/>
      <c r="N2469" s="44"/>
      <c r="AC2469" s="46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  <c r="BP2469" s="46"/>
      <c r="BQ2469" s="46"/>
      <c r="BR2469" s="46"/>
      <c r="BS2469" s="46"/>
      <c r="BT2469" s="46"/>
      <c r="BU2469" s="46"/>
      <c r="BV2469" s="46"/>
      <c r="BW2469" s="46"/>
      <c r="BX2469" s="46"/>
      <c r="BY2469" s="46"/>
      <c r="BZ2469" s="46"/>
      <c r="CA2469" s="46"/>
      <c r="CB2469" s="46"/>
      <c r="CC2469" s="46"/>
      <c r="CD2469" s="46"/>
      <c r="CE2469" s="46"/>
      <c r="CF2469" s="46"/>
      <c r="CG2469" s="46"/>
      <c r="CH2469" s="46"/>
      <c r="CI2469" s="46"/>
      <c r="CJ2469" s="46"/>
      <c r="CK2469" s="46"/>
      <c r="CL2469" s="46"/>
      <c r="CM2469" s="46"/>
      <c r="CN2469" s="46"/>
      <c r="CO2469" s="46"/>
      <c r="CP2469" s="46"/>
      <c r="CQ2469" s="46"/>
      <c r="CR2469" s="46"/>
      <c r="CS2469" s="46"/>
      <c r="CT2469" s="46"/>
      <c r="CU2469" s="46"/>
      <c r="CV2469" s="46"/>
      <c r="CW2469" s="46"/>
      <c r="CX2469" s="46"/>
      <c r="CY2469" s="46"/>
      <c r="CZ2469" s="46"/>
      <c r="DA2469" s="46"/>
      <c r="DB2469" s="46"/>
      <c r="DC2469" s="46"/>
      <c r="DD2469" s="46"/>
      <c r="DE2469" s="46"/>
      <c r="DF2469" s="46"/>
      <c r="DG2469" s="46"/>
      <c r="DH2469" s="46"/>
      <c r="DI2469" s="46"/>
      <c r="DJ2469" s="46"/>
      <c r="DK2469" s="46"/>
      <c r="DL2469" s="46"/>
      <c r="DM2469" s="46"/>
      <c r="DN2469" s="46"/>
      <c r="DO2469" s="46"/>
      <c r="DP2469" s="46"/>
      <c r="DQ2469" s="46"/>
      <c r="DR2469" s="46"/>
      <c r="DS2469" s="46"/>
      <c r="DT2469" s="46"/>
      <c r="DU2469" s="46"/>
      <c r="DV2469" s="46"/>
      <c r="DW2469" s="46"/>
      <c r="DX2469" s="46"/>
      <c r="DY2469" s="46"/>
      <c r="DZ2469" s="46"/>
      <c r="EA2469" s="46"/>
      <c r="EB2469" s="46"/>
      <c r="EC2469" s="46"/>
      <c r="ED2469" s="46"/>
      <c r="EE2469" s="46"/>
      <c r="EF2469" s="46"/>
      <c r="EG2469" s="46"/>
      <c r="EH2469" s="46"/>
      <c r="EI2469" s="46"/>
      <c r="EJ2469" s="46"/>
      <c r="EK2469" s="46"/>
      <c r="EL2469" s="46"/>
      <c r="EM2469" s="46"/>
      <c r="EN2469" s="46"/>
      <c r="EO2469" s="46"/>
      <c r="EP2469" s="46"/>
      <c r="EQ2469" s="46"/>
      <c r="ER2469" s="46"/>
      <c r="ES2469" s="46"/>
      <c r="ET2469" s="46"/>
      <c r="EU2469" s="46"/>
      <c r="EV2469" s="46"/>
      <c r="EW2469" s="46"/>
      <c r="EX2469" s="46"/>
      <c r="EY2469" s="46"/>
      <c r="EZ2469" s="46"/>
      <c r="FA2469" s="46"/>
      <c r="FB2469" s="46"/>
      <c r="FC2469" s="46"/>
      <c r="FD2469" s="46"/>
      <c r="FE2469" s="46"/>
      <c r="FF2469" s="46"/>
      <c r="FG2469" s="46"/>
      <c r="FH2469" s="46"/>
      <c r="FI2469" s="46"/>
      <c r="FJ2469" s="46"/>
      <c r="FK2469" s="46"/>
      <c r="FL2469" s="46"/>
      <c r="FM2469" s="46"/>
      <c r="FN2469" s="46"/>
      <c r="FO2469" s="46"/>
      <c r="FP2469" s="46"/>
      <c r="FQ2469" s="46"/>
      <c r="FR2469" s="46"/>
      <c r="FS2469" s="46"/>
      <c r="FT2469" s="46"/>
      <c r="FU2469" s="46"/>
      <c r="FV2469" s="46"/>
      <c r="FW2469" s="46"/>
      <c r="FX2469" s="46"/>
      <c r="FY2469" s="46"/>
      <c r="FZ2469" s="46"/>
      <c r="GA2469" s="46"/>
      <c r="GB2469" s="46"/>
      <c r="GC2469" s="46"/>
      <c r="GD2469" s="46"/>
      <c r="GE2469" s="46"/>
      <c r="GF2469" s="46"/>
      <c r="GG2469" s="46"/>
      <c r="GH2469" s="46"/>
      <c r="GI2469" s="46"/>
      <c r="GJ2469" s="46"/>
      <c r="GK2469" s="46"/>
      <c r="GL2469" s="46"/>
      <c r="GM2469" s="46"/>
      <c r="GN2469" s="46"/>
      <c r="GO2469" s="46"/>
      <c r="GP2469" s="46"/>
      <c r="GQ2469" s="46"/>
      <c r="GR2469" s="46"/>
      <c r="GS2469" s="46"/>
      <c r="GT2469" s="46"/>
      <c r="GU2469" s="46"/>
    </row>
    <row r="2470" spans="1:203" s="45" customFormat="1" ht="31" customHeight="1" collapsed="1" x14ac:dyDescent="0.35">
      <c r="A2470" s="24">
        <f>A2468+1</f>
        <v>1049</v>
      </c>
      <c r="B2470" s="25" t="s">
        <v>657</v>
      </c>
      <c r="C2470" s="89" t="s">
        <v>58</v>
      </c>
      <c r="D2470" s="26">
        <v>1</v>
      </c>
      <c r="E2470" s="41"/>
      <c r="F2470" s="42"/>
      <c r="G2470" s="43"/>
      <c r="H2470" s="44"/>
      <c r="I2470" s="43"/>
      <c r="J2470" s="43"/>
      <c r="N2470" s="44"/>
      <c r="AC2470" s="46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  <c r="BP2470" s="46"/>
      <c r="BQ2470" s="46"/>
      <c r="BR2470" s="46"/>
      <c r="BS2470" s="46"/>
      <c r="BT2470" s="46"/>
      <c r="BU2470" s="46"/>
      <c r="BV2470" s="46"/>
      <c r="BW2470" s="46"/>
      <c r="BX2470" s="46"/>
      <c r="BY2470" s="46"/>
      <c r="BZ2470" s="46"/>
      <c r="CA2470" s="46"/>
      <c r="CB2470" s="46"/>
      <c r="CC2470" s="46"/>
      <c r="CD2470" s="46"/>
      <c r="CE2470" s="46"/>
      <c r="CF2470" s="46"/>
      <c r="CG2470" s="46"/>
      <c r="CH2470" s="46"/>
      <c r="CI2470" s="46"/>
      <c r="CJ2470" s="46"/>
      <c r="CK2470" s="46"/>
      <c r="CL2470" s="46"/>
      <c r="CM2470" s="46"/>
      <c r="CN2470" s="46"/>
      <c r="CO2470" s="46"/>
      <c r="CP2470" s="46"/>
      <c r="CQ2470" s="46"/>
      <c r="CR2470" s="46"/>
      <c r="CS2470" s="46"/>
      <c r="CT2470" s="46"/>
      <c r="CU2470" s="46"/>
      <c r="CV2470" s="46"/>
      <c r="CW2470" s="46"/>
      <c r="CX2470" s="46"/>
      <c r="CY2470" s="46"/>
      <c r="CZ2470" s="46"/>
      <c r="DA2470" s="46"/>
      <c r="DB2470" s="46"/>
      <c r="DC2470" s="46"/>
      <c r="DD2470" s="46"/>
      <c r="DE2470" s="46"/>
      <c r="DF2470" s="46"/>
      <c r="DG2470" s="46"/>
      <c r="DH2470" s="46"/>
      <c r="DI2470" s="46"/>
      <c r="DJ2470" s="46"/>
      <c r="DK2470" s="46"/>
      <c r="DL2470" s="46"/>
      <c r="DM2470" s="46"/>
      <c r="DN2470" s="46"/>
      <c r="DO2470" s="46"/>
      <c r="DP2470" s="46"/>
      <c r="DQ2470" s="46"/>
      <c r="DR2470" s="46"/>
      <c r="DS2470" s="46"/>
      <c r="DT2470" s="46"/>
      <c r="DU2470" s="46"/>
      <c r="DV2470" s="46"/>
      <c r="DW2470" s="46"/>
      <c r="DX2470" s="46"/>
      <c r="DY2470" s="46"/>
      <c r="DZ2470" s="46"/>
      <c r="EA2470" s="46"/>
      <c r="EB2470" s="46"/>
      <c r="EC2470" s="46"/>
      <c r="ED2470" s="46"/>
      <c r="EE2470" s="46"/>
      <c r="EF2470" s="46"/>
      <c r="EG2470" s="46"/>
      <c r="EH2470" s="46"/>
      <c r="EI2470" s="46"/>
      <c r="EJ2470" s="46"/>
      <c r="EK2470" s="46"/>
      <c r="EL2470" s="46"/>
      <c r="EM2470" s="46"/>
      <c r="EN2470" s="46"/>
      <c r="EO2470" s="46"/>
      <c r="EP2470" s="46"/>
      <c r="EQ2470" s="46"/>
      <c r="ER2470" s="46"/>
      <c r="ES2470" s="46"/>
      <c r="ET2470" s="46"/>
      <c r="EU2470" s="46"/>
      <c r="EV2470" s="46"/>
      <c r="EW2470" s="46"/>
      <c r="EX2470" s="46"/>
      <c r="EY2470" s="46"/>
      <c r="EZ2470" s="46"/>
      <c r="FA2470" s="46"/>
      <c r="FB2470" s="46"/>
      <c r="FC2470" s="46"/>
      <c r="FD2470" s="46"/>
      <c r="FE2470" s="46"/>
      <c r="FF2470" s="46"/>
      <c r="FG2470" s="46"/>
      <c r="FH2470" s="46"/>
      <c r="FI2470" s="46"/>
      <c r="FJ2470" s="46"/>
      <c r="FK2470" s="46"/>
      <c r="FL2470" s="46"/>
      <c r="FM2470" s="46"/>
      <c r="FN2470" s="46"/>
      <c r="FO2470" s="46"/>
      <c r="FP2470" s="46"/>
      <c r="FQ2470" s="46"/>
      <c r="FR2470" s="46"/>
      <c r="FS2470" s="46"/>
      <c r="FT2470" s="46"/>
      <c r="FU2470" s="46"/>
      <c r="FV2470" s="46"/>
      <c r="FW2470" s="46"/>
      <c r="FX2470" s="46"/>
      <c r="FY2470" s="46"/>
      <c r="FZ2470" s="46"/>
      <c r="GA2470" s="46"/>
      <c r="GB2470" s="46"/>
      <c r="GC2470" s="46"/>
      <c r="GD2470" s="46"/>
      <c r="GE2470" s="46"/>
      <c r="GF2470" s="46"/>
      <c r="GG2470" s="46"/>
      <c r="GH2470" s="46"/>
      <c r="GI2470" s="46"/>
      <c r="GJ2470" s="46"/>
      <c r="GK2470" s="46"/>
      <c r="GL2470" s="46"/>
      <c r="GM2470" s="46"/>
      <c r="GN2470" s="46"/>
      <c r="GO2470" s="46"/>
      <c r="GP2470" s="46"/>
      <c r="GQ2470" s="46"/>
      <c r="GR2470" s="46"/>
      <c r="GS2470" s="46"/>
      <c r="GT2470" s="46"/>
      <c r="GU2470" s="46"/>
    </row>
    <row r="2471" spans="1:203" s="45" customFormat="1" ht="61.75" hidden="1" outlineLevel="1" x14ac:dyDescent="0.35">
      <c r="A2471" s="47"/>
      <c r="B2471" s="48" t="s">
        <v>867</v>
      </c>
      <c r="C2471" s="49" t="s">
        <v>58</v>
      </c>
      <c r="D2471" s="49">
        <v>1</v>
      </c>
      <c r="E2471" s="78"/>
      <c r="F2471" s="42"/>
      <c r="G2471" s="43"/>
      <c r="H2471" s="44"/>
      <c r="I2471" s="43"/>
      <c r="J2471" s="43"/>
      <c r="N2471" s="44"/>
      <c r="AC2471" s="46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  <c r="BP2471" s="46"/>
      <c r="BQ2471" s="46"/>
      <c r="BR2471" s="46"/>
      <c r="BS2471" s="46"/>
      <c r="BT2471" s="46"/>
      <c r="BU2471" s="46"/>
      <c r="BV2471" s="46"/>
      <c r="BW2471" s="46"/>
      <c r="BX2471" s="46"/>
      <c r="BY2471" s="46"/>
      <c r="BZ2471" s="46"/>
      <c r="CA2471" s="46"/>
      <c r="CB2471" s="46"/>
      <c r="CC2471" s="46"/>
      <c r="CD2471" s="46"/>
      <c r="CE2471" s="46"/>
      <c r="CF2471" s="46"/>
      <c r="CG2471" s="46"/>
      <c r="CH2471" s="46"/>
      <c r="CI2471" s="46"/>
      <c r="CJ2471" s="46"/>
      <c r="CK2471" s="46"/>
      <c r="CL2471" s="46"/>
      <c r="CM2471" s="46"/>
      <c r="CN2471" s="46"/>
      <c r="CO2471" s="46"/>
      <c r="CP2471" s="46"/>
      <c r="CQ2471" s="46"/>
      <c r="CR2471" s="46"/>
      <c r="CS2471" s="46"/>
      <c r="CT2471" s="46"/>
      <c r="CU2471" s="46"/>
      <c r="CV2471" s="46"/>
      <c r="CW2471" s="46"/>
      <c r="CX2471" s="46"/>
      <c r="CY2471" s="46"/>
      <c r="CZ2471" s="46"/>
      <c r="DA2471" s="46"/>
      <c r="DB2471" s="46"/>
      <c r="DC2471" s="46"/>
      <c r="DD2471" s="46"/>
      <c r="DE2471" s="46"/>
      <c r="DF2471" s="46"/>
      <c r="DG2471" s="46"/>
      <c r="DH2471" s="46"/>
      <c r="DI2471" s="46"/>
      <c r="DJ2471" s="46"/>
      <c r="DK2471" s="46"/>
      <c r="DL2471" s="46"/>
      <c r="DM2471" s="46"/>
      <c r="DN2471" s="46"/>
      <c r="DO2471" s="46"/>
      <c r="DP2471" s="46"/>
      <c r="DQ2471" s="46"/>
      <c r="DR2471" s="46"/>
      <c r="DS2471" s="46"/>
      <c r="DT2471" s="46"/>
      <c r="DU2471" s="46"/>
      <c r="DV2471" s="46"/>
      <c r="DW2471" s="46"/>
      <c r="DX2471" s="46"/>
      <c r="DY2471" s="46"/>
      <c r="DZ2471" s="46"/>
      <c r="EA2471" s="46"/>
      <c r="EB2471" s="46"/>
      <c r="EC2471" s="46"/>
      <c r="ED2471" s="46"/>
      <c r="EE2471" s="46"/>
      <c r="EF2471" s="46"/>
      <c r="EG2471" s="46"/>
      <c r="EH2471" s="46"/>
      <c r="EI2471" s="46"/>
      <c r="EJ2471" s="46"/>
      <c r="EK2471" s="46"/>
      <c r="EL2471" s="46"/>
      <c r="EM2471" s="46"/>
      <c r="EN2471" s="46"/>
      <c r="EO2471" s="46"/>
      <c r="EP2471" s="46"/>
      <c r="EQ2471" s="46"/>
      <c r="ER2471" s="46"/>
      <c r="ES2471" s="46"/>
      <c r="ET2471" s="46"/>
      <c r="EU2471" s="46"/>
      <c r="EV2471" s="46"/>
      <c r="EW2471" s="46"/>
      <c r="EX2471" s="46"/>
      <c r="EY2471" s="46"/>
      <c r="EZ2471" s="46"/>
      <c r="FA2471" s="46"/>
      <c r="FB2471" s="46"/>
      <c r="FC2471" s="46"/>
      <c r="FD2471" s="46"/>
      <c r="FE2471" s="46"/>
      <c r="FF2471" s="46"/>
      <c r="FG2471" s="46"/>
      <c r="FH2471" s="46"/>
      <c r="FI2471" s="46"/>
      <c r="FJ2471" s="46"/>
      <c r="FK2471" s="46"/>
      <c r="FL2471" s="46"/>
      <c r="FM2471" s="46"/>
      <c r="FN2471" s="46"/>
      <c r="FO2471" s="46"/>
      <c r="FP2471" s="46"/>
      <c r="FQ2471" s="46"/>
      <c r="FR2471" s="46"/>
      <c r="FS2471" s="46"/>
      <c r="FT2471" s="46"/>
      <c r="FU2471" s="46"/>
      <c r="FV2471" s="46"/>
      <c r="FW2471" s="46"/>
      <c r="FX2471" s="46"/>
      <c r="FY2471" s="46"/>
      <c r="FZ2471" s="46"/>
      <c r="GA2471" s="46"/>
      <c r="GB2471" s="46"/>
      <c r="GC2471" s="46"/>
      <c r="GD2471" s="46"/>
      <c r="GE2471" s="46"/>
      <c r="GF2471" s="46"/>
      <c r="GG2471" s="46"/>
      <c r="GH2471" s="46"/>
      <c r="GI2471" s="46"/>
      <c r="GJ2471" s="46"/>
      <c r="GK2471" s="46"/>
      <c r="GL2471" s="46"/>
      <c r="GM2471" s="46"/>
      <c r="GN2471" s="46"/>
      <c r="GO2471" s="46"/>
      <c r="GP2471" s="46"/>
      <c r="GQ2471" s="46"/>
      <c r="GR2471" s="46"/>
      <c r="GS2471" s="46"/>
      <c r="GT2471" s="46"/>
      <c r="GU2471" s="46"/>
    </row>
    <row r="2472" spans="1:203" s="58" customFormat="1" ht="30" customHeight="1" collapsed="1" x14ac:dyDescent="0.4">
      <c r="A2472" s="24">
        <f>A2470+1</f>
        <v>1050</v>
      </c>
      <c r="B2472" s="25" t="s">
        <v>431</v>
      </c>
      <c r="C2472" s="89" t="s">
        <v>132</v>
      </c>
      <c r="D2472" s="90">
        <v>431</v>
      </c>
      <c r="E2472" s="91"/>
      <c r="F2472" s="57"/>
    </row>
    <row r="2473" spans="1:203" s="58" customFormat="1" ht="30" hidden="1" customHeight="1" outlineLevel="1" x14ac:dyDescent="0.4">
      <c r="A2473" s="87"/>
      <c r="B2473" s="48" t="s">
        <v>454</v>
      </c>
      <c r="C2473" s="75" t="s">
        <v>132</v>
      </c>
      <c r="D2473" s="74">
        <v>35</v>
      </c>
      <c r="E2473" s="88">
        <v>1.0999999999999999E-2</v>
      </c>
      <c r="F2473" s="57"/>
    </row>
    <row r="2474" spans="1:203" s="58" customFormat="1" ht="30" hidden="1" customHeight="1" outlineLevel="1" x14ac:dyDescent="0.4">
      <c r="A2474" s="87"/>
      <c r="B2474" s="48" t="s">
        <v>583</v>
      </c>
      <c r="C2474" s="75" t="s">
        <v>132</v>
      </c>
      <c r="D2474" s="74">
        <v>70</v>
      </c>
      <c r="E2474" s="88">
        <v>3.7999999999999999E-2</v>
      </c>
      <c r="F2474" s="57"/>
    </row>
    <row r="2475" spans="1:203" s="58" customFormat="1" ht="30" hidden="1" customHeight="1" outlineLevel="1" x14ac:dyDescent="0.4">
      <c r="A2475" s="87"/>
      <c r="B2475" s="48" t="s">
        <v>441</v>
      </c>
      <c r="C2475" s="75" t="s">
        <v>58</v>
      </c>
      <c r="D2475" s="74">
        <v>8</v>
      </c>
      <c r="E2475" s="88"/>
      <c r="F2475" s="57"/>
    </row>
    <row r="2476" spans="1:203" s="58" customFormat="1" ht="30" customHeight="1" collapsed="1" x14ac:dyDescent="0.4">
      <c r="A2476" s="24">
        <f>A2472+1</f>
        <v>1051</v>
      </c>
      <c r="B2476" s="25" t="s">
        <v>316</v>
      </c>
      <c r="C2476" s="89" t="s">
        <v>132</v>
      </c>
      <c r="D2476" s="96">
        <v>10</v>
      </c>
      <c r="E2476" s="98"/>
      <c r="F2476" s="57"/>
      <c r="O2476" s="58" t="s">
        <v>442</v>
      </c>
    </row>
    <row r="2477" spans="1:203" s="58" customFormat="1" ht="30" hidden="1" customHeight="1" outlineLevel="1" x14ac:dyDescent="0.4">
      <c r="A2477" s="87"/>
      <c r="B2477" s="48" t="s">
        <v>317</v>
      </c>
      <c r="C2477" s="75" t="s">
        <v>132</v>
      </c>
      <c r="D2477" s="74">
        <v>10</v>
      </c>
      <c r="E2477" s="93"/>
      <c r="F2477" s="57"/>
    </row>
    <row r="2478" spans="1:203" s="58" customFormat="1" ht="30" customHeight="1" collapsed="1" x14ac:dyDescent="0.4">
      <c r="A2478" s="24">
        <f>A2476+1</f>
        <v>1052</v>
      </c>
      <c r="B2478" s="25" t="s">
        <v>340</v>
      </c>
      <c r="C2478" s="89" t="s">
        <v>132</v>
      </c>
      <c r="D2478" s="90">
        <v>39</v>
      </c>
      <c r="E2478" s="99"/>
      <c r="F2478" s="57"/>
    </row>
    <row r="2479" spans="1:203" s="58" customFormat="1" ht="30" hidden="1" customHeight="1" outlineLevel="1" x14ac:dyDescent="0.4">
      <c r="A2479" s="87"/>
      <c r="B2479" s="48" t="s">
        <v>341</v>
      </c>
      <c r="C2479" s="75" t="s">
        <v>14</v>
      </c>
      <c r="D2479" s="77">
        <f>39*1.66/1000*1.1</f>
        <v>7.1214E-2</v>
      </c>
      <c r="E2479" s="88">
        <v>7.0999999999999994E-2</v>
      </c>
      <c r="F2479" s="57"/>
    </row>
    <row r="2480" spans="1:203" s="58" customFormat="1" ht="30" customHeight="1" collapsed="1" x14ac:dyDescent="0.4">
      <c r="A2480" s="24">
        <f>A2478+1</f>
        <v>1053</v>
      </c>
      <c r="B2480" s="25" t="s">
        <v>284</v>
      </c>
      <c r="C2480" s="89" t="s">
        <v>132</v>
      </c>
      <c r="D2480" s="90">
        <v>12</v>
      </c>
      <c r="E2480" s="91"/>
      <c r="F2480" s="57"/>
    </row>
    <row r="2481" spans="1:28" s="58" customFormat="1" ht="30" hidden="1" customHeight="1" outlineLevel="1" x14ac:dyDescent="0.4">
      <c r="A2481" s="87"/>
      <c r="B2481" s="48" t="s">
        <v>342</v>
      </c>
      <c r="C2481" s="75" t="s">
        <v>132</v>
      </c>
      <c r="D2481" s="74">
        <v>29</v>
      </c>
      <c r="E2481" s="88"/>
      <c r="F2481" s="57"/>
    </row>
    <row r="2482" spans="1:28" s="58" customFormat="1" ht="30" hidden="1" customHeight="1" outlineLevel="1" x14ac:dyDescent="0.4">
      <c r="A2482" s="87"/>
      <c r="B2482" s="48" t="s">
        <v>343</v>
      </c>
      <c r="C2482" s="75" t="s">
        <v>132</v>
      </c>
      <c r="D2482" s="74">
        <v>8</v>
      </c>
      <c r="E2482" s="88"/>
      <c r="F2482" s="57"/>
    </row>
    <row r="2483" spans="1:28" s="58" customFormat="1" ht="30" hidden="1" customHeight="1" outlineLevel="1" x14ac:dyDescent="0.4">
      <c r="A2483" s="87"/>
      <c r="B2483" s="48" t="s">
        <v>348</v>
      </c>
      <c r="C2483" s="75" t="s">
        <v>349</v>
      </c>
      <c r="D2483" s="74">
        <v>1</v>
      </c>
      <c r="E2483" s="88"/>
      <c r="F2483" s="57"/>
    </row>
    <row r="2484" spans="1:28" s="58" customFormat="1" ht="30" customHeight="1" collapsed="1" x14ac:dyDescent="0.4">
      <c r="A2484" s="24">
        <f>A2480+1</f>
        <v>1054</v>
      </c>
      <c r="B2484" s="25" t="s">
        <v>588</v>
      </c>
      <c r="C2484" s="89" t="s">
        <v>58</v>
      </c>
      <c r="D2484" s="90">
        <v>1</v>
      </c>
      <c r="E2484" s="99"/>
      <c r="F2484" s="57"/>
    </row>
    <row r="2485" spans="1:28" s="58" customFormat="1" ht="39" hidden="1" customHeight="1" outlineLevel="1" x14ac:dyDescent="0.4">
      <c r="A2485" s="87"/>
      <c r="B2485" s="48" t="s">
        <v>868</v>
      </c>
      <c r="C2485" s="75" t="s">
        <v>58</v>
      </c>
      <c r="D2485" s="74">
        <v>1</v>
      </c>
      <c r="E2485" s="88"/>
      <c r="F2485" s="57"/>
    </row>
    <row r="2486" spans="1:28" ht="31" customHeight="1" collapsed="1" x14ac:dyDescent="0.35">
      <c r="A2486" s="24">
        <f>A2484+1</f>
        <v>1055</v>
      </c>
      <c r="B2486" s="25" t="s">
        <v>592</v>
      </c>
      <c r="C2486" s="89" t="s">
        <v>58</v>
      </c>
      <c r="D2486" s="26">
        <v>1</v>
      </c>
      <c r="E2486" s="41"/>
      <c r="F2486" s="42"/>
    </row>
    <row r="2487" spans="1:28" ht="30" hidden="1" customHeight="1" outlineLevel="1" x14ac:dyDescent="0.35">
      <c r="A2487" s="47"/>
      <c r="B2487" s="48" t="s">
        <v>593</v>
      </c>
      <c r="C2487" s="49" t="s">
        <v>58</v>
      </c>
      <c r="D2487" s="49">
        <v>5</v>
      </c>
      <c r="E2487" s="78"/>
      <c r="F2487" s="42"/>
    </row>
    <row r="2488" spans="1:28" s="58" customFormat="1" ht="30" customHeight="1" collapsed="1" x14ac:dyDescent="0.4">
      <c r="A2488" s="24">
        <f>A2486+1</f>
        <v>1056</v>
      </c>
      <c r="B2488" s="71" t="s">
        <v>315</v>
      </c>
      <c r="C2488" s="40" t="s">
        <v>132</v>
      </c>
      <c r="D2488" s="82">
        <v>4</v>
      </c>
      <c r="E2488" s="66"/>
      <c r="F2488" s="57"/>
    </row>
    <row r="2489" spans="1:28" s="58" customFormat="1" ht="30" hidden="1" customHeight="1" outlineLevel="1" x14ac:dyDescent="0.4">
      <c r="A2489" s="87"/>
      <c r="B2489" s="48" t="s">
        <v>314</v>
      </c>
      <c r="C2489" s="75" t="s">
        <v>14</v>
      </c>
      <c r="D2489" s="65">
        <f>4*1.26/1000</f>
        <v>5.0400000000000002E-3</v>
      </c>
      <c r="E2489" s="88">
        <v>5.0000000000000001E-3</v>
      </c>
      <c r="F2489" s="57"/>
    </row>
    <row r="2490" spans="1:28" s="39" customFormat="1" ht="30" customHeight="1" collapsed="1" x14ac:dyDescent="0.35">
      <c r="A2490" s="153" t="s">
        <v>869</v>
      </c>
      <c r="B2490" s="153"/>
      <c r="C2490" s="153"/>
      <c r="D2490" s="153"/>
      <c r="E2490" s="153"/>
      <c r="F2490" s="34"/>
      <c r="G2490" s="35"/>
      <c r="H2490" s="36"/>
      <c r="I2490" s="37"/>
      <c r="J2490" s="37"/>
      <c r="K2490" s="38"/>
      <c r="L2490" s="38"/>
      <c r="M2490" s="38"/>
      <c r="N2490" s="36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</row>
    <row r="2491" spans="1:28" s="39" customFormat="1" ht="21" customHeight="1" x14ac:dyDescent="0.35">
      <c r="A2491" s="158" t="s">
        <v>870</v>
      </c>
      <c r="B2491" s="158"/>
      <c r="C2491" s="158"/>
      <c r="D2491" s="158"/>
      <c r="E2491" s="158"/>
      <c r="F2491" s="34"/>
      <c r="G2491" s="35"/>
      <c r="H2491" s="36"/>
      <c r="I2491" s="37"/>
      <c r="J2491" s="37"/>
      <c r="K2491" s="38"/>
      <c r="L2491" s="38"/>
      <c r="M2491" s="38"/>
      <c r="N2491" s="36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</row>
    <row r="2492" spans="1:28" ht="36" customHeight="1" x14ac:dyDescent="0.35">
      <c r="A2492" s="24">
        <f>A2488+1</f>
        <v>1057</v>
      </c>
      <c r="B2492" s="59" t="s">
        <v>766</v>
      </c>
      <c r="C2492" s="26" t="s">
        <v>29</v>
      </c>
      <c r="D2492" s="67">
        <f>6.2*4.2</f>
        <v>26.040000000000003</v>
      </c>
      <c r="E2492" s="41"/>
      <c r="F2492" s="42"/>
    </row>
    <row r="2493" spans="1:28" ht="30" customHeight="1" x14ac:dyDescent="0.35">
      <c r="A2493" s="24">
        <f>A2492+1</f>
        <v>1058</v>
      </c>
      <c r="B2493" s="25" t="s">
        <v>131</v>
      </c>
      <c r="C2493" s="26" t="s">
        <v>132</v>
      </c>
      <c r="D2493" s="73">
        <v>16</v>
      </c>
      <c r="E2493" s="41"/>
      <c r="F2493" s="42"/>
    </row>
    <row r="2494" spans="1:28" ht="31" hidden="1" customHeight="1" outlineLevel="1" x14ac:dyDescent="0.35">
      <c r="A2494" s="47"/>
      <c r="B2494" s="48" t="s">
        <v>133</v>
      </c>
      <c r="C2494" s="49" t="s">
        <v>58</v>
      </c>
      <c r="D2494" s="55">
        <v>16</v>
      </c>
      <c r="E2494" s="56">
        <v>1.6</v>
      </c>
      <c r="F2494" s="42"/>
    </row>
    <row r="2495" spans="1:28" ht="31" hidden="1" customHeight="1" outlineLevel="1" x14ac:dyDescent="0.35">
      <c r="A2495" s="74"/>
      <c r="B2495" s="48" t="s">
        <v>134</v>
      </c>
      <c r="C2495" s="49" t="s">
        <v>19</v>
      </c>
      <c r="D2495" s="81">
        <f>1.04</f>
        <v>1.04</v>
      </c>
      <c r="E2495" s="69"/>
      <c r="F2495" s="42"/>
    </row>
    <row r="2496" spans="1:28" ht="30" customHeight="1" collapsed="1" x14ac:dyDescent="0.35">
      <c r="A2496" s="24">
        <f>A2493+1</f>
        <v>1059</v>
      </c>
      <c r="B2496" s="25" t="s">
        <v>135</v>
      </c>
      <c r="C2496" s="26" t="s">
        <v>19</v>
      </c>
      <c r="D2496" s="110">
        <v>3.56</v>
      </c>
      <c r="E2496" s="41"/>
      <c r="F2496" s="42"/>
    </row>
    <row r="2497" spans="1:28" ht="31" hidden="1" customHeight="1" outlineLevel="1" x14ac:dyDescent="0.35">
      <c r="A2497" s="47"/>
      <c r="B2497" s="48" t="s">
        <v>52</v>
      </c>
      <c r="C2497" s="49" t="s">
        <v>19</v>
      </c>
      <c r="D2497" s="68">
        <f>3.56</f>
        <v>3.56</v>
      </c>
      <c r="E2497" s="51"/>
      <c r="F2497" s="42"/>
    </row>
    <row r="2498" spans="1:28" s="39" customFormat="1" ht="21" customHeight="1" collapsed="1" x14ac:dyDescent="0.35">
      <c r="A2498" s="158" t="s">
        <v>871</v>
      </c>
      <c r="B2498" s="158"/>
      <c r="C2498" s="158"/>
      <c r="D2498" s="158"/>
      <c r="E2498" s="158"/>
      <c r="F2498" s="34"/>
      <c r="G2498" s="35"/>
      <c r="H2498" s="36"/>
      <c r="I2498" s="37"/>
      <c r="J2498" s="37"/>
      <c r="K2498" s="38"/>
      <c r="L2498" s="38"/>
      <c r="M2498" s="38"/>
      <c r="N2498" s="36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</row>
    <row r="2499" spans="1:28" s="39" customFormat="1" ht="21" customHeight="1" x14ac:dyDescent="0.35">
      <c r="A2499" s="154" t="s">
        <v>697</v>
      </c>
      <c r="B2499" s="154"/>
      <c r="C2499" s="154"/>
      <c r="D2499" s="154"/>
      <c r="E2499" s="154"/>
      <c r="F2499" s="34"/>
      <c r="G2499" s="35"/>
      <c r="H2499" s="36"/>
      <c r="I2499" s="37"/>
      <c r="J2499" s="37"/>
      <c r="K2499" s="38"/>
      <c r="L2499" s="38"/>
      <c r="M2499" s="38"/>
      <c r="N2499" s="36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</row>
    <row r="2500" spans="1:28" ht="33" customHeight="1" x14ac:dyDescent="0.35">
      <c r="A2500" s="24">
        <f>A2496+1</f>
        <v>1060</v>
      </c>
      <c r="B2500" s="25" t="s">
        <v>872</v>
      </c>
      <c r="C2500" s="26" t="s">
        <v>873</v>
      </c>
      <c r="D2500" s="40">
        <v>2</v>
      </c>
      <c r="E2500" s="41"/>
      <c r="F2500" s="53"/>
    </row>
    <row r="2501" spans="1:28" s="39" customFormat="1" ht="36" customHeight="1" x14ac:dyDescent="0.35">
      <c r="A2501" s="24">
        <f>A2500+1</f>
        <v>1061</v>
      </c>
      <c r="B2501" s="25" t="s">
        <v>66</v>
      </c>
      <c r="C2501" s="26" t="s">
        <v>67</v>
      </c>
      <c r="D2501" s="40" t="s">
        <v>874</v>
      </c>
      <c r="E2501" s="64"/>
      <c r="F2501" s="34"/>
      <c r="G2501" s="35"/>
      <c r="H2501" s="36"/>
      <c r="I2501" s="37"/>
      <c r="J2501" s="37"/>
      <c r="K2501" s="38"/>
      <c r="L2501" s="38"/>
      <c r="M2501" s="38"/>
      <c r="N2501" s="36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</row>
    <row r="2502" spans="1:28" s="58" customFormat="1" ht="30" hidden="1" customHeight="1" outlineLevel="1" x14ac:dyDescent="0.4">
      <c r="A2502" s="54"/>
      <c r="B2502" s="48" t="s">
        <v>700</v>
      </c>
      <c r="C2502" s="49" t="s">
        <v>14</v>
      </c>
      <c r="D2502" s="65">
        <f>(28.79)*2/1000</f>
        <v>5.7579999999999999E-2</v>
      </c>
      <c r="E2502" s="51"/>
      <c r="F2502" s="57"/>
    </row>
    <row r="2503" spans="1:28" s="58" customFormat="1" ht="30" hidden="1" customHeight="1" outlineLevel="1" x14ac:dyDescent="0.4">
      <c r="A2503" s="54"/>
      <c r="B2503" s="48" t="s">
        <v>185</v>
      </c>
      <c r="C2503" s="49" t="s">
        <v>14</v>
      </c>
      <c r="D2503" s="65">
        <f>(5.66+2.52+2.51)*2/1000</f>
        <v>2.138E-2</v>
      </c>
      <c r="E2503" s="51"/>
      <c r="F2503" s="57"/>
    </row>
    <row r="2504" spans="1:28" s="58" customFormat="1" ht="30" customHeight="1" collapsed="1" x14ac:dyDescent="0.4">
      <c r="A2504" s="24">
        <f>A2501+1</f>
        <v>1062</v>
      </c>
      <c r="B2504" s="59" t="s">
        <v>71</v>
      </c>
      <c r="C2504" s="26" t="s">
        <v>67</v>
      </c>
      <c r="D2504" s="40" t="s">
        <v>874</v>
      </c>
      <c r="E2504" s="66"/>
      <c r="F2504" s="57"/>
    </row>
    <row r="2505" spans="1:28" ht="31" customHeight="1" x14ac:dyDescent="0.35">
      <c r="A2505" s="24">
        <f>A2504+1</f>
        <v>1063</v>
      </c>
      <c r="B2505" s="25" t="s">
        <v>64</v>
      </c>
      <c r="C2505" s="89" t="s">
        <v>19</v>
      </c>
      <c r="D2505" s="110">
        <f>0.22*2</f>
        <v>0.44</v>
      </c>
      <c r="E2505" s="41"/>
      <c r="F2505" s="42"/>
    </row>
    <row r="2506" spans="1:28" ht="30" hidden="1" customHeight="1" outlineLevel="1" x14ac:dyDescent="0.35">
      <c r="A2506" s="47"/>
      <c r="B2506" s="48" t="s">
        <v>65</v>
      </c>
      <c r="C2506" s="49" t="s">
        <v>74</v>
      </c>
      <c r="D2506" s="81">
        <f>D2505</f>
        <v>0.44</v>
      </c>
      <c r="E2506" s="78"/>
      <c r="F2506" s="42"/>
    </row>
    <row r="2507" spans="1:28" ht="36" customHeight="1" collapsed="1" x14ac:dyDescent="0.35">
      <c r="A2507" s="24">
        <f>A2505+1</f>
        <v>1064</v>
      </c>
      <c r="B2507" s="59" t="s">
        <v>72</v>
      </c>
      <c r="C2507" s="26" t="s">
        <v>29</v>
      </c>
      <c r="D2507" s="67">
        <f>((0.089*0.743*3.14)+(0.3*0.3*2)+(0.2*0.2*2)+(0.1*0.1*2))*2</f>
        <v>0.97527755999999999</v>
      </c>
      <c r="E2507" s="41"/>
      <c r="F2507" s="42"/>
    </row>
    <row r="2508" spans="1:28" s="58" customFormat="1" ht="30" hidden="1" customHeight="1" outlineLevel="1" x14ac:dyDescent="0.4">
      <c r="A2508" s="54"/>
      <c r="B2508" s="48" t="s">
        <v>73</v>
      </c>
      <c r="C2508" s="49" t="s">
        <v>74</v>
      </c>
      <c r="D2508" s="68">
        <f>3.31*D2507</f>
        <v>3.2281687236000001</v>
      </c>
      <c r="E2508" s="69">
        <v>3.0000000000000001E-3</v>
      </c>
      <c r="F2508" s="57"/>
    </row>
    <row r="2509" spans="1:28" ht="36" customHeight="1" collapsed="1" x14ac:dyDescent="0.35">
      <c r="A2509" s="24">
        <f>A2507+1</f>
        <v>1065</v>
      </c>
      <c r="B2509" s="59" t="s">
        <v>75</v>
      </c>
      <c r="C2509" s="26" t="s">
        <v>29</v>
      </c>
      <c r="D2509" s="67">
        <f>((0.089*0.743*3.14)+(0.3*0.3*2)+(0.2*0.2*2)+(0.1*0.1*2))*2</f>
        <v>0.97527755999999999</v>
      </c>
      <c r="E2509" s="41"/>
      <c r="F2509" s="42"/>
    </row>
    <row r="2510" spans="1:28" ht="36" customHeight="1" x14ac:dyDescent="0.35">
      <c r="A2510" s="24">
        <f>A2509+1</f>
        <v>1066</v>
      </c>
      <c r="B2510" s="59" t="s">
        <v>76</v>
      </c>
      <c r="C2510" s="26" t="s">
        <v>29</v>
      </c>
      <c r="D2510" s="67">
        <f>((0.089*0.743*3.14)+(0.3*0.3*2)+(0.2*0.2*2)+(0.1*0.1*2))*2</f>
        <v>0.97527755999999999</v>
      </c>
      <c r="E2510" s="41"/>
      <c r="F2510" s="42"/>
    </row>
    <row r="2511" spans="1:28" s="58" customFormat="1" ht="30" customHeight="1" x14ac:dyDescent="0.4">
      <c r="A2511" s="24">
        <f>A2510+1</f>
        <v>1067</v>
      </c>
      <c r="B2511" s="59" t="s">
        <v>77</v>
      </c>
      <c r="C2511" s="70" t="s">
        <v>29</v>
      </c>
      <c r="D2511" s="67">
        <f>((0.089*0.743*3.14)+(0.3*0.3*2)+(0.2*0.2*2)+(0.1*0.1*2))*2</f>
        <v>0.97527755999999999</v>
      </c>
      <c r="E2511" s="66"/>
      <c r="F2511" s="57"/>
    </row>
    <row r="2512" spans="1:28" s="58" customFormat="1" ht="30" hidden="1" customHeight="1" outlineLevel="1" x14ac:dyDescent="0.4">
      <c r="A2512" s="54"/>
      <c r="B2512" s="48" t="s">
        <v>78</v>
      </c>
      <c r="C2512" s="49" t="s">
        <v>74</v>
      </c>
      <c r="D2512" s="68">
        <f>D2511*0.255</f>
        <v>0.24869577779999999</v>
      </c>
      <c r="E2512" s="69">
        <v>1E-3</v>
      </c>
      <c r="F2512" s="57"/>
    </row>
    <row r="2513" spans="1:28" s="58" customFormat="1" ht="30" customHeight="1" collapsed="1" x14ac:dyDescent="0.4">
      <c r="A2513" s="24">
        <f>A2511+1</f>
        <v>1068</v>
      </c>
      <c r="B2513" s="59" t="s">
        <v>79</v>
      </c>
      <c r="C2513" s="70" t="s">
        <v>29</v>
      </c>
      <c r="D2513" s="67">
        <f>((0.089*0.743*3.14)+(0.3*0.3*2)+(0.2*0.2*2)+(0.1*0.1*2))*2</f>
        <v>0.97527755999999999</v>
      </c>
      <c r="E2513" s="66"/>
      <c r="F2513" s="57"/>
    </row>
    <row r="2514" spans="1:28" s="58" customFormat="1" ht="30" hidden="1" customHeight="1" outlineLevel="1" x14ac:dyDescent="0.4">
      <c r="A2514" s="54"/>
      <c r="B2514" s="48" t="s">
        <v>80</v>
      </c>
      <c r="C2514" s="49" t="s">
        <v>74</v>
      </c>
      <c r="D2514" s="68">
        <f>D2513*0.36*2</f>
        <v>0.70219984319999995</v>
      </c>
      <c r="E2514" s="69"/>
      <c r="F2514" s="57"/>
    </row>
    <row r="2515" spans="1:28" s="39" customFormat="1" ht="21" customHeight="1" collapsed="1" x14ac:dyDescent="0.35">
      <c r="A2515" s="158" t="s">
        <v>875</v>
      </c>
      <c r="B2515" s="158"/>
      <c r="C2515" s="158"/>
      <c r="D2515" s="158"/>
      <c r="E2515" s="158"/>
      <c r="F2515" s="34"/>
      <c r="G2515" s="35"/>
      <c r="H2515" s="36"/>
      <c r="I2515" s="37"/>
      <c r="J2515" s="37"/>
      <c r="K2515" s="38"/>
      <c r="L2515" s="38"/>
      <c r="M2515" s="38"/>
      <c r="N2515" s="36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</row>
    <row r="2516" spans="1:28" s="33" customFormat="1" ht="31" customHeight="1" x14ac:dyDescent="0.35">
      <c r="A2516" s="24">
        <f>A2513+1</f>
        <v>1069</v>
      </c>
      <c r="B2516" s="59" t="s">
        <v>501</v>
      </c>
      <c r="C2516" s="26" t="s">
        <v>58</v>
      </c>
      <c r="D2516" s="73">
        <v>1</v>
      </c>
      <c r="E2516" s="28"/>
      <c r="F2516" s="29"/>
      <c r="G2516" s="30"/>
      <c r="H2516" s="31"/>
      <c r="I2516" s="30"/>
      <c r="J2516" s="30"/>
      <c r="K2516" s="32"/>
      <c r="L2516" s="32"/>
      <c r="M2516" s="32"/>
      <c r="N2516" s="31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</row>
    <row r="2517" spans="1:28" s="39" customFormat="1" ht="46.3" hidden="1" outlineLevel="1" x14ac:dyDescent="0.35">
      <c r="A2517" s="74"/>
      <c r="B2517" s="48" t="s">
        <v>502</v>
      </c>
      <c r="C2517" s="49" t="s">
        <v>251</v>
      </c>
      <c r="D2517" s="55">
        <v>1</v>
      </c>
      <c r="E2517" s="78">
        <v>2.8000000000000001E-2</v>
      </c>
      <c r="F2517" s="34"/>
      <c r="G2517" s="35"/>
      <c r="H2517" s="36"/>
      <c r="I2517" s="37"/>
      <c r="J2517" s="37"/>
      <c r="K2517" s="38"/>
      <c r="L2517" s="38"/>
      <c r="M2517" s="38"/>
      <c r="N2517" s="36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</row>
    <row r="2518" spans="1:28" s="58" customFormat="1" ht="30.75" customHeight="1" collapsed="1" x14ac:dyDescent="0.4">
      <c r="A2518" s="24">
        <f>A2516+1</f>
        <v>1070</v>
      </c>
      <c r="B2518" s="59" t="s">
        <v>876</v>
      </c>
      <c r="C2518" s="70" t="s">
        <v>58</v>
      </c>
      <c r="D2518" s="40">
        <v>1</v>
      </c>
      <c r="E2518" s="66"/>
      <c r="F2518" s="57"/>
    </row>
    <row r="2519" spans="1:28" s="58" customFormat="1" ht="46.3" hidden="1" outlineLevel="1" x14ac:dyDescent="0.4">
      <c r="A2519" s="54"/>
      <c r="B2519" s="48" t="s">
        <v>507</v>
      </c>
      <c r="C2519" s="49" t="s">
        <v>58</v>
      </c>
      <c r="D2519" s="55">
        <v>1</v>
      </c>
      <c r="E2519" s="51">
        <v>5.8999999999999997E-2</v>
      </c>
      <c r="F2519" s="57"/>
    </row>
    <row r="2520" spans="1:28" s="33" customFormat="1" ht="30.9" collapsed="1" x14ac:dyDescent="0.35">
      <c r="A2520" s="24">
        <f>A2518+1</f>
        <v>1071</v>
      </c>
      <c r="B2520" s="71" t="s">
        <v>523</v>
      </c>
      <c r="C2520" s="40" t="s">
        <v>132</v>
      </c>
      <c r="D2520" s="108">
        <v>0.15</v>
      </c>
      <c r="E2520" s="79" t="s">
        <v>151</v>
      </c>
      <c r="F2520" s="29"/>
      <c r="G2520" s="30"/>
      <c r="H2520" s="31"/>
      <c r="I2520" s="30"/>
      <c r="J2520" s="30"/>
      <c r="K2520" s="32"/>
      <c r="L2520" s="32"/>
      <c r="M2520" s="32"/>
      <c r="N2520" s="31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</row>
    <row r="2521" spans="1:28" s="39" customFormat="1" ht="36" hidden="1" customHeight="1" outlineLevel="1" x14ac:dyDescent="0.35">
      <c r="A2521" s="74"/>
      <c r="B2521" s="48" t="s">
        <v>524</v>
      </c>
      <c r="C2521" s="49" t="s">
        <v>14</v>
      </c>
      <c r="D2521" s="65">
        <f>0.15*5.23/1000*1.1</f>
        <v>8.6295000000000013E-4</v>
      </c>
      <c r="E2521" s="76"/>
      <c r="F2521" s="34"/>
      <c r="G2521" s="35"/>
      <c r="H2521" s="36"/>
      <c r="I2521" s="37"/>
      <c r="J2521" s="37"/>
      <c r="K2521" s="38"/>
      <c r="L2521" s="38"/>
      <c r="M2521" s="38"/>
      <c r="N2521" s="36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</row>
    <row r="2522" spans="1:28" s="58" customFormat="1" ht="30" hidden="1" customHeight="1" outlineLevel="1" x14ac:dyDescent="0.4">
      <c r="A2522" s="54"/>
      <c r="B2522" s="48" t="s">
        <v>525</v>
      </c>
      <c r="C2522" s="49" t="s">
        <v>58</v>
      </c>
      <c r="D2522" s="55">
        <v>1</v>
      </c>
      <c r="E2522" s="51">
        <v>1E-3</v>
      </c>
      <c r="F2522" s="57"/>
    </row>
    <row r="2523" spans="1:28" s="33" customFormat="1" ht="30.9" collapsed="1" x14ac:dyDescent="0.35">
      <c r="A2523" s="24">
        <f>A2520+1</f>
        <v>1072</v>
      </c>
      <c r="B2523" s="71" t="s">
        <v>533</v>
      </c>
      <c r="C2523" s="40" t="s">
        <v>132</v>
      </c>
      <c r="D2523" s="108">
        <v>4</v>
      </c>
      <c r="E2523" s="79" t="s">
        <v>151</v>
      </c>
      <c r="F2523" s="29"/>
      <c r="G2523" s="30"/>
      <c r="H2523" s="31"/>
      <c r="I2523" s="30"/>
      <c r="J2523" s="30"/>
      <c r="K2523" s="32"/>
      <c r="L2523" s="32"/>
      <c r="M2523" s="32"/>
      <c r="N2523" s="31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</row>
    <row r="2524" spans="1:28" s="39" customFormat="1" ht="36" hidden="1" customHeight="1" outlineLevel="1" x14ac:dyDescent="0.35">
      <c r="A2524" s="74"/>
      <c r="B2524" s="48" t="s">
        <v>877</v>
      </c>
      <c r="C2524" s="49" t="s">
        <v>14</v>
      </c>
      <c r="D2524" s="65">
        <f>4*20.91/1000*1.1</f>
        <v>9.2004000000000016E-2</v>
      </c>
      <c r="E2524" s="76"/>
      <c r="F2524" s="34"/>
      <c r="G2524" s="35"/>
      <c r="H2524" s="36"/>
      <c r="I2524" s="37"/>
      <c r="J2524" s="37"/>
      <c r="K2524" s="38"/>
      <c r="L2524" s="38"/>
      <c r="M2524" s="38"/>
      <c r="N2524" s="36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</row>
    <row r="2525" spans="1:28" s="58" customFormat="1" ht="30" hidden="1" customHeight="1" outlineLevel="1" x14ac:dyDescent="0.4">
      <c r="A2525" s="54"/>
      <c r="B2525" s="48" t="s">
        <v>525</v>
      </c>
      <c r="C2525" s="49" t="s">
        <v>58</v>
      </c>
      <c r="D2525" s="55">
        <v>2</v>
      </c>
      <c r="E2525" s="51">
        <v>0.01</v>
      </c>
      <c r="F2525" s="57"/>
    </row>
    <row r="2526" spans="1:28" s="39" customFormat="1" ht="36" hidden="1" customHeight="1" outlineLevel="1" x14ac:dyDescent="0.35">
      <c r="A2526" s="74"/>
      <c r="B2526" s="48" t="s">
        <v>527</v>
      </c>
      <c r="C2526" s="49" t="s">
        <v>58</v>
      </c>
      <c r="D2526" s="49">
        <v>1</v>
      </c>
      <c r="E2526" s="78">
        <v>1.4999999999999999E-2</v>
      </c>
      <c r="F2526" s="34"/>
      <c r="G2526" s="35"/>
      <c r="H2526" s="36"/>
      <c r="I2526" s="37"/>
      <c r="J2526" s="37"/>
      <c r="K2526" s="38"/>
      <c r="L2526" s="38"/>
      <c r="M2526" s="38"/>
      <c r="N2526" s="36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</row>
    <row r="2527" spans="1:28" s="33" customFormat="1" ht="31" customHeight="1" collapsed="1" x14ac:dyDescent="0.35">
      <c r="A2527" s="24">
        <f>A2523+1</f>
        <v>1073</v>
      </c>
      <c r="B2527" s="71" t="s">
        <v>549</v>
      </c>
      <c r="C2527" s="40" t="s">
        <v>132</v>
      </c>
      <c r="D2527" s="108">
        <v>2.8</v>
      </c>
      <c r="E2527" s="28"/>
      <c r="F2527" s="29"/>
      <c r="G2527" s="30"/>
      <c r="H2527" s="31"/>
      <c r="I2527" s="30"/>
      <c r="J2527" s="30"/>
      <c r="K2527" s="32"/>
      <c r="L2527" s="32"/>
      <c r="M2527" s="32"/>
      <c r="N2527" s="31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</row>
    <row r="2528" spans="1:28" s="39" customFormat="1" ht="46.3" hidden="1" outlineLevel="1" x14ac:dyDescent="0.35">
      <c r="A2528" s="74"/>
      <c r="B2528" s="48" t="s">
        <v>878</v>
      </c>
      <c r="C2528" s="49" t="s">
        <v>14</v>
      </c>
      <c r="D2528" s="65">
        <f>2.8*20.91/1000*1.1</f>
        <v>6.4402799999999996E-2</v>
      </c>
      <c r="E2528" s="76"/>
      <c r="F2528" s="34"/>
      <c r="G2528" s="35"/>
      <c r="H2528" s="36"/>
      <c r="I2528" s="37"/>
      <c r="J2528" s="37"/>
      <c r="K2528" s="38"/>
      <c r="L2528" s="38"/>
      <c r="M2528" s="38"/>
      <c r="N2528" s="36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</row>
    <row r="2529" spans="1:203" s="58" customFormat="1" ht="30" customHeight="1" collapsed="1" x14ac:dyDescent="0.4">
      <c r="A2529" s="24">
        <f>A2527+1</f>
        <v>1074</v>
      </c>
      <c r="B2529" s="59" t="s">
        <v>158</v>
      </c>
      <c r="C2529" s="70" t="s">
        <v>67</v>
      </c>
      <c r="D2529" s="40" t="s">
        <v>879</v>
      </c>
      <c r="E2529" s="66"/>
      <c r="F2529" s="57"/>
    </row>
    <row r="2530" spans="1:203" s="58" customFormat="1" ht="30" hidden="1" customHeight="1" outlineLevel="1" x14ac:dyDescent="0.4">
      <c r="A2530" s="54"/>
      <c r="B2530" s="48" t="s">
        <v>552</v>
      </c>
      <c r="C2530" s="49" t="s">
        <v>58</v>
      </c>
      <c r="D2530" s="55">
        <v>2</v>
      </c>
      <c r="E2530" s="51">
        <v>4.0000000000000001E-3</v>
      </c>
      <c r="F2530" s="57"/>
    </row>
    <row r="2531" spans="1:203" s="58" customFormat="1" ht="30" customHeight="1" collapsed="1" x14ac:dyDescent="0.4">
      <c r="A2531" s="24">
        <f>A2529+1</f>
        <v>1075</v>
      </c>
      <c r="B2531" s="71" t="s">
        <v>240</v>
      </c>
      <c r="C2531" s="40" t="s">
        <v>58</v>
      </c>
      <c r="D2531" s="82">
        <v>2</v>
      </c>
      <c r="E2531" s="66"/>
      <c r="F2531" s="57"/>
    </row>
    <row r="2532" spans="1:203" s="58" customFormat="1" ht="30" hidden="1" customHeight="1" outlineLevel="1" x14ac:dyDescent="0.4">
      <c r="A2532" s="54"/>
      <c r="B2532" s="48" t="s">
        <v>241</v>
      </c>
      <c r="C2532" s="49" t="s">
        <v>14</v>
      </c>
      <c r="D2532" s="65">
        <f>0.6*1.88*2/1000</f>
        <v>2.2559999999999998E-3</v>
      </c>
      <c r="E2532" s="51"/>
      <c r="F2532" s="57"/>
    </row>
    <row r="2533" spans="1:203" s="58" customFormat="1" ht="30" hidden="1" customHeight="1" outlineLevel="1" x14ac:dyDescent="0.4">
      <c r="A2533" s="54"/>
      <c r="B2533" s="48" t="s">
        <v>242</v>
      </c>
      <c r="C2533" s="49" t="s">
        <v>58</v>
      </c>
      <c r="D2533" s="55">
        <f>2*2</f>
        <v>4</v>
      </c>
      <c r="E2533" s="51"/>
      <c r="F2533" s="57"/>
    </row>
    <row r="2534" spans="1:203" s="58" customFormat="1" ht="30" hidden="1" customHeight="1" outlineLevel="1" x14ac:dyDescent="0.4">
      <c r="A2534" s="54"/>
      <c r="B2534" s="48" t="s">
        <v>243</v>
      </c>
      <c r="C2534" s="49" t="s">
        <v>58</v>
      </c>
      <c r="D2534" s="55">
        <f>6*2</f>
        <v>12</v>
      </c>
      <c r="E2534" s="51"/>
      <c r="F2534" s="57"/>
    </row>
    <row r="2535" spans="1:203" s="58" customFormat="1" ht="30" hidden="1" customHeight="1" outlineLevel="1" x14ac:dyDescent="0.4">
      <c r="A2535" s="54"/>
      <c r="B2535" s="48" t="s">
        <v>244</v>
      </c>
      <c r="C2535" s="49" t="s">
        <v>58</v>
      </c>
      <c r="D2535" s="55">
        <f>2*2</f>
        <v>4</v>
      </c>
      <c r="E2535" s="51"/>
      <c r="F2535" s="57"/>
    </row>
    <row r="2536" spans="1:203" s="58" customFormat="1" ht="30" hidden="1" customHeight="1" outlineLevel="1" x14ac:dyDescent="0.4">
      <c r="A2536" s="54"/>
      <c r="B2536" s="48" t="s">
        <v>245</v>
      </c>
      <c r="C2536" s="49" t="s">
        <v>58</v>
      </c>
      <c r="D2536" s="55">
        <f>4*2</f>
        <v>8</v>
      </c>
      <c r="E2536" s="51"/>
      <c r="F2536" s="57"/>
    </row>
    <row r="2537" spans="1:203" s="58" customFormat="1" ht="30" hidden="1" customHeight="1" outlineLevel="1" x14ac:dyDescent="0.4">
      <c r="A2537" s="54"/>
      <c r="B2537" s="48" t="s">
        <v>246</v>
      </c>
      <c r="C2537" s="49" t="s">
        <v>58</v>
      </c>
      <c r="D2537" s="55">
        <f>8*2</f>
        <v>16</v>
      </c>
      <c r="E2537" s="51"/>
      <c r="F2537" s="57"/>
    </row>
    <row r="2538" spans="1:203" s="58" customFormat="1" ht="30" hidden="1" customHeight="1" outlineLevel="1" x14ac:dyDescent="0.4">
      <c r="A2538" s="54"/>
      <c r="B2538" s="48" t="s">
        <v>247</v>
      </c>
      <c r="C2538" s="49" t="s">
        <v>58</v>
      </c>
      <c r="D2538" s="55">
        <f>8*2</f>
        <v>16</v>
      </c>
      <c r="E2538" s="51"/>
      <c r="F2538" s="57"/>
    </row>
    <row r="2539" spans="1:203" s="43" customFormat="1" ht="36" customHeight="1" collapsed="1" x14ac:dyDescent="0.35">
      <c r="A2539" s="24">
        <f>A2531+1</f>
        <v>1076</v>
      </c>
      <c r="B2539" s="59" t="s">
        <v>72</v>
      </c>
      <c r="C2539" s="26" t="s">
        <v>29</v>
      </c>
      <c r="D2539" s="67">
        <f>((0.057*3.14*0.15)+(0.114*3.14*4))</f>
        <v>1.4586870000000001</v>
      </c>
      <c r="E2539" s="41"/>
      <c r="F2539" s="42"/>
      <c r="H2539" s="44"/>
      <c r="K2539" s="45"/>
      <c r="L2539" s="45"/>
      <c r="M2539" s="45"/>
      <c r="N2539" s="44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6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  <c r="BP2539" s="46"/>
      <c r="BQ2539" s="46"/>
      <c r="BR2539" s="46"/>
      <c r="BS2539" s="46"/>
      <c r="BT2539" s="46"/>
      <c r="BU2539" s="46"/>
      <c r="BV2539" s="46"/>
      <c r="BW2539" s="46"/>
      <c r="BX2539" s="46"/>
      <c r="BY2539" s="46"/>
      <c r="BZ2539" s="46"/>
      <c r="CA2539" s="46"/>
      <c r="CB2539" s="46"/>
      <c r="CC2539" s="46"/>
      <c r="CD2539" s="46"/>
      <c r="CE2539" s="46"/>
      <c r="CF2539" s="46"/>
      <c r="CG2539" s="46"/>
      <c r="CH2539" s="46"/>
      <c r="CI2539" s="46"/>
      <c r="CJ2539" s="46"/>
      <c r="CK2539" s="46"/>
      <c r="CL2539" s="46"/>
      <c r="CM2539" s="46"/>
      <c r="CN2539" s="46"/>
      <c r="CO2539" s="46"/>
      <c r="CP2539" s="46"/>
      <c r="CQ2539" s="46"/>
      <c r="CR2539" s="46"/>
      <c r="CS2539" s="46"/>
      <c r="CT2539" s="46"/>
      <c r="CU2539" s="46"/>
      <c r="CV2539" s="46"/>
      <c r="CW2539" s="46"/>
      <c r="CX2539" s="46"/>
      <c r="CY2539" s="46"/>
      <c r="CZ2539" s="46"/>
      <c r="DA2539" s="46"/>
      <c r="DB2539" s="46"/>
      <c r="DC2539" s="46"/>
      <c r="DD2539" s="46"/>
      <c r="DE2539" s="46"/>
      <c r="DF2539" s="46"/>
      <c r="DG2539" s="46"/>
      <c r="DH2539" s="46"/>
      <c r="DI2539" s="46"/>
      <c r="DJ2539" s="46"/>
      <c r="DK2539" s="46"/>
      <c r="DL2539" s="46"/>
      <c r="DM2539" s="46"/>
      <c r="DN2539" s="46"/>
      <c r="DO2539" s="46"/>
      <c r="DP2539" s="46"/>
      <c r="DQ2539" s="46"/>
      <c r="DR2539" s="46"/>
      <c r="DS2539" s="46"/>
      <c r="DT2539" s="46"/>
      <c r="DU2539" s="46"/>
      <c r="DV2539" s="46"/>
      <c r="DW2539" s="46"/>
      <c r="DX2539" s="46"/>
      <c r="DY2539" s="46"/>
      <c r="DZ2539" s="46"/>
      <c r="EA2539" s="46"/>
      <c r="EB2539" s="46"/>
      <c r="EC2539" s="46"/>
      <c r="ED2539" s="46"/>
      <c r="EE2539" s="46"/>
      <c r="EF2539" s="46"/>
      <c r="EG2539" s="46"/>
      <c r="EH2539" s="46"/>
      <c r="EI2539" s="46"/>
      <c r="EJ2539" s="46"/>
      <c r="EK2539" s="46"/>
      <c r="EL2539" s="46"/>
      <c r="EM2539" s="46"/>
      <c r="EN2539" s="46"/>
      <c r="EO2539" s="46"/>
      <c r="EP2539" s="46"/>
      <c r="EQ2539" s="46"/>
      <c r="ER2539" s="46"/>
      <c r="ES2539" s="46"/>
      <c r="ET2539" s="46"/>
      <c r="EU2539" s="46"/>
      <c r="EV2539" s="46"/>
      <c r="EW2539" s="46"/>
      <c r="EX2539" s="46"/>
      <c r="EY2539" s="46"/>
      <c r="EZ2539" s="46"/>
      <c r="FA2539" s="46"/>
      <c r="FB2539" s="46"/>
      <c r="FC2539" s="46"/>
      <c r="FD2539" s="46"/>
      <c r="FE2539" s="46"/>
      <c r="FF2539" s="46"/>
      <c r="FG2539" s="46"/>
      <c r="FH2539" s="46"/>
      <c r="FI2539" s="46"/>
      <c r="FJ2539" s="46"/>
      <c r="FK2539" s="46"/>
      <c r="FL2539" s="46"/>
      <c r="FM2539" s="46"/>
      <c r="FN2539" s="46"/>
      <c r="FO2539" s="46"/>
      <c r="FP2539" s="46"/>
      <c r="FQ2539" s="46"/>
      <c r="FR2539" s="46"/>
      <c r="FS2539" s="46"/>
      <c r="FT2539" s="46"/>
      <c r="FU2539" s="46"/>
      <c r="FV2539" s="46"/>
      <c r="FW2539" s="46"/>
      <c r="FX2539" s="46"/>
      <c r="FY2539" s="46"/>
      <c r="FZ2539" s="46"/>
      <c r="GA2539" s="46"/>
      <c r="GB2539" s="46"/>
      <c r="GC2539" s="46"/>
      <c r="GD2539" s="46"/>
      <c r="GE2539" s="46"/>
      <c r="GF2539" s="46"/>
      <c r="GG2539" s="46"/>
      <c r="GH2539" s="46"/>
      <c r="GI2539" s="46"/>
      <c r="GJ2539" s="46"/>
      <c r="GK2539" s="46"/>
      <c r="GL2539" s="46"/>
      <c r="GM2539" s="46"/>
      <c r="GN2539" s="46"/>
      <c r="GO2539" s="46"/>
      <c r="GP2539" s="46"/>
      <c r="GQ2539" s="46"/>
      <c r="GR2539" s="46"/>
      <c r="GS2539" s="46"/>
      <c r="GT2539" s="46"/>
      <c r="GU2539" s="46"/>
    </row>
    <row r="2540" spans="1:203" s="58" customFormat="1" ht="30" hidden="1" customHeight="1" outlineLevel="1" x14ac:dyDescent="0.4">
      <c r="A2540" s="54"/>
      <c r="B2540" s="48" t="s">
        <v>73</v>
      </c>
      <c r="C2540" s="49" t="s">
        <v>74</v>
      </c>
      <c r="D2540" s="68">
        <f>3.31*D2539</f>
        <v>4.8282539700000005</v>
      </c>
      <c r="E2540" s="69">
        <v>5.0000000000000001E-3</v>
      </c>
      <c r="F2540" s="57"/>
    </row>
    <row r="2541" spans="1:203" s="43" customFormat="1" ht="36" customHeight="1" collapsed="1" x14ac:dyDescent="0.35">
      <c r="A2541" s="24">
        <f>A2539+1</f>
        <v>1077</v>
      </c>
      <c r="B2541" s="59" t="s">
        <v>75</v>
      </c>
      <c r="C2541" s="26" t="s">
        <v>29</v>
      </c>
      <c r="D2541" s="67">
        <f>((0.057*3.14*0.15)+(0.114*3.14*4))</f>
        <v>1.4586870000000001</v>
      </c>
      <c r="E2541" s="41"/>
      <c r="F2541" s="42"/>
      <c r="H2541" s="44"/>
      <c r="K2541" s="45"/>
      <c r="L2541" s="45"/>
      <c r="M2541" s="45"/>
      <c r="N2541" s="44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6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  <c r="BP2541" s="46"/>
      <c r="BQ2541" s="46"/>
      <c r="BR2541" s="46"/>
      <c r="BS2541" s="46"/>
      <c r="BT2541" s="46"/>
      <c r="BU2541" s="46"/>
      <c r="BV2541" s="46"/>
      <c r="BW2541" s="46"/>
      <c r="BX2541" s="46"/>
      <c r="BY2541" s="46"/>
      <c r="BZ2541" s="46"/>
      <c r="CA2541" s="46"/>
      <c r="CB2541" s="46"/>
      <c r="CC2541" s="46"/>
      <c r="CD2541" s="46"/>
      <c r="CE2541" s="46"/>
      <c r="CF2541" s="46"/>
      <c r="CG2541" s="46"/>
      <c r="CH2541" s="46"/>
      <c r="CI2541" s="46"/>
      <c r="CJ2541" s="46"/>
      <c r="CK2541" s="46"/>
      <c r="CL2541" s="46"/>
      <c r="CM2541" s="46"/>
      <c r="CN2541" s="46"/>
      <c r="CO2541" s="46"/>
      <c r="CP2541" s="46"/>
      <c r="CQ2541" s="46"/>
      <c r="CR2541" s="46"/>
      <c r="CS2541" s="46"/>
      <c r="CT2541" s="46"/>
      <c r="CU2541" s="46"/>
      <c r="CV2541" s="46"/>
      <c r="CW2541" s="46"/>
      <c r="CX2541" s="46"/>
      <c r="CY2541" s="46"/>
      <c r="CZ2541" s="46"/>
      <c r="DA2541" s="46"/>
      <c r="DB2541" s="46"/>
      <c r="DC2541" s="46"/>
      <c r="DD2541" s="46"/>
      <c r="DE2541" s="46"/>
      <c r="DF2541" s="46"/>
      <c r="DG2541" s="46"/>
      <c r="DH2541" s="46"/>
      <c r="DI2541" s="46"/>
      <c r="DJ2541" s="46"/>
      <c r="DK2541" s="46"/>
      <c r="DL2541" s="46"/>
      <c r="DM2541" s="46"/>
      <c r="DN2541" s="46"/>
      <c r="DO2541" s="46"/>
      <c r="DP2541" s="46"/>
      <c r="DQ2541" s="46"/>
      <c r="DR2541" s="46"/>
      <c r="DS2541" s="46"/>
      <c r="DT2541" s="46"/>
      <c r="DU2541" s="46"/>
      <c r="DV2541" s="46"/>
      <c r="DW2541" s="46"/>
      <c r="DX2541" s="46"/>
      <c r="DY2541" s="46"/>
      <c r="DZ2541" s="46"/>
      <c r="EA2541" s="46"/>
      <c r="EB2541" s="46"/>
      <c r="EC2541" s="46"/>
      <c r="ED2541" s="46"/>
      <c r="EE2541" s="46"/>
      <c r="EF2541" s="46"/>
      <c r="EG2541" s="46"/>
      <c r="EH2541" s="46"/>
      <c r="EI2541" s="46"/>
      <c r="EJ2541" s="46"/>
      <c r="EK2541" s="46"/>
      <c r="EL2541" s="46"/>
      <c r="EM2541" s="46"/>
      <c r="EN2541" s="46"/>
      <c r="EO2541" s="46"/>
      <c r="EP2541" s="46"/>
      <c r="EQ2541" s="46"/>
      <c r="ER2541" s="46"/>
      <c r="ES2541" s="46"/>
      <c r="ET2541" s="46"/>
      <c r="EU2541" s="46"/>
      <c r="EV2541" s="46"/>
      <c r="EW2541" s="46"/>
      <c r="EX2541" s="46"/>
      <c r="EY2541" s="46"/>
      <c r="EZ2541" s="46"/>
      <c r="FA2541" s="46"/>
      <c r="FB2541" s="46"/>
      <c r="FC2541" s="46"/>
      <c r="FD2541" s="46"/>
      <c r="FE2541" s="46"/>
      <c r="FF2541" s="46"/>
      <c r="FG2541" s="46"/>
      <c r="FH2541" s="46"/>
      <c r="FI2541" s="46"/>
      <c r="FJ2541" s="46"/>
      <c r="FK2541" s="46"/>
      <c r="FL2541" s="46"/>
      <c r="FM2541" s="46"/>
      <c r="FN2541" s="46"/>
      <c r="FO2541" s="46"/>
      <c r="FP2541" s="46"/>
      <c r="FQ2541" s="46"/>
      <c r="FR2541" s="46"/>
      <c r="FS2541" s="46"/>
      <c r="FT2541" s="46"/>
      <c r="FU2541" s="46"/>
      <c r="FV2541" s="46"/>
      <c r="FW2541" s="46"/>
      <c r="FX2541" s="46"/>
      <c r="FY2541" s="46"/>
      <c r="FZ2541" s="46"/>
      <c r="GA2541" s="46"/>
      <c r="GB2541" s="46"/>
      <c r="GC2541" s="46"/>
      <c r="GD2541" s="46"/>
      <c r="GE2541" s="46"/>
      <c r="GF2541" s="46"/>
      <c r="GG2541" s="46"/>
      <c r="GH2541" s="46"/>
      <c r="GI2541" s="46"/>
      <c r="GJ2541" s="46"/>
      <c r="GK2541" s="46"/>
      <c r="GL2541" s="46"/>
      <c r="GM2541" s="46"/>
      <c r="GN2541" s="46"/>
      <c r="GO2541" s="46"/>
      <c r="GP2541" s="46"/>
      <c r="GQ2541" s="46"/>
      <c r="GR2541" s="46"/>
      <c r="GS2541" s="46"/>
      <c r="GT2541" s="46"/>
      <c r="GU2541" s="46"/>
    </row>
    <row r="2542" spans="1:203" s="43" customFormat="1" ht="36" customHeight="1" x14ac:dyDescent="0.35">
      <c r="A2542" s="24">
        <f>A2541+1</f>
        <v>1078</v>
      </c>
      <c r="B2542" s="59" t="s">
        <v>76</v>
      </c>
      <c r="C2542" s="26" t="s">
        <v>29</v>
      </c>
      <c r="D2542" s="67">
        <f>((0.057*3.14*0.15)+(0.114*3.14*4))</f>
        <v>1.4586870000000001</v>
      </c>
      <c r="E2542" s="41"/>
      <c r="F2542" s="42"/>
      <c r="H2542" s="44"/>
      <c r="K2542" s="45"/>
      <c r="L2542" s="45"/>
      <c r="M2542" s="45"/>
      <c r="N2542" s="44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6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  <c r="BP2542" s="46"/>
      <c r="BQ2542" s="46"/>
      <c r="BR2542" s="46"/>
      <c r="BS2542" s="46"/>
      <c r="BT2542" s="46"/>
      <c r="BU2542" s="46"/>
      <c r="BV2542" s="46"/>
      <c r="BW2542" s="46"/>
      <c r="BX2542" s="46"/>
      <c r="BY2542" s="46"/>
      <c r="BZ2542" s="46"/>
      <c r="CA2542" s="46"/>
      <c r="CB2542" s="46"/>
      <c r="CC2542" s="46"/>
      <c r="CD2542" s="46"/>
      <c r="CE2542" s="46"/>
      <c r="CF2542" s="46"/>
      <c r="CG2542" s="46"/>
      <c r="CH2542" s="46"/>
      <c r="CI2542" s="46"/>
      <c r="CJ2542" s="46"/>
      <c r="CK2542" s="46"/>
      <c r="CL2542" s="46"/>
      <c r="CM2542" s="46"/>
      <c r="CN2542" s="46"/>
      <c r="CO2542" s="46"/>
      <c r="CP2542" s="46"/>
      <c r="CQ2542" s="46"/>
      <c r="CR2542" s="46"/>
      <c r="CS2542" s="46"/>
      <c r="CT2542" s="46"/>
      <c r="CU2542" s="46"/>
      <c r="CV2542" s="46"/>
      <c r="CW2542" s="46"/>
      <c r="CX2542" s="46"/>
      <c r="CY2542" s="46"/>
      <c r="CZ2542" s="46"/>
      <c r="DA2542" s="46"/>
      <c r="DB2542" s="46"/>
      <c r="DC2542" s="46"/>
      <c r="DD2542" s="46"/>
      <c r="DE2542" s="46"/>
      <c r="DF2542" s="46"/>
      <c r="DG2542" s="46"/>
      <c r="DH2542" s="46"/>
      <c r="DI2542" s="46"/>
      <c r="DJ2542" s="46"/>
      <c r="DK2542" s="46"/>
      <c r="DL2542" s="46"/>
      <c r="DM2542" s="46"/>
      <c r="DN2542" s="46"/>
      <c r="DO2542" s="46"/>
      <c r="DP2542" s="46"/>
      <c r="DQ2542" s="46"/>
      <c r="DR2542" s="46"/>
      <c r="DS2542" s="46"/>
      <c r="DT2542" s="46"/>
      <c r="DU2542" s="46"/>
      <c r="DV2542" s="46"/>
      <c r="DW2542" s="46"/>
      <c r="DX2542" s="46"/>
      <c r="DY2542" s="46"/>
      <c r="DZ2542" s="46"/>
      <c r="EA2542" s="46"/>
      <c r="EB2542" s="46"/>
      <c r="EC2542" s="46"/>
      <c r="ED2542" s="46"/>
      <c r="EE2542" s="46"/>
      <c r="EF2542" s="46"/>
      <c r="EG2542" s="46"/>
      <c r="EH2542" s="46"/>
      <c r="EI2542" s="46"/>
      <c r="EJ2542" s="46"/>
      <c r="EK2542" s="46"/>
      <c r="EL2542" s="46"/>
      <c r="EM2542" s="46"/>
      <c r="EN2542" s="46"/>
      <c r="EO2542" s="46"/>
      <c r="EP2542" s="46"/>
      <c r="EQ2542" s="46"/>
      <c r="ER2542" s="46"/>
      <c r="ES2542" s="46"/>
      <c r="ET2542" s="46"/>
      <c r="EU2542" s="46"/>
      <c r="EV2542" s="46"/>
      <c r="EW2542" s="46"/>
      <c r="EX2542" s="46"/>
      <c r="EY2542" s="46"/>
      <c r="EZ2542" s="46"/>
      <c r="FA2542" s="46"/>
      <c r="FB2542" s="46"/>
      <c r="FC2542" s="46"/>
      <c r="FD2542" s="46"/>
      <c r="FE2542" s="46"/>
      <c r="FF2542" s="46"/>
      <c r="FG2542" s="46"/>
      <c r="FH2542" s="46"/>
      <c r="FI2542" s="46"/>
      <c r="FJ2542" s="46"/>
      <c r="FK2542" s="46"/>
      <c r="FL2542" s="46"/>
      <c r="FM2542" s="46"/>
      <c r="FN2542" s="46"/>
      <c r="FO2542" s="46"/>
      <c r="FP2542" s="46"/>
      <c r="FQ2542" s="46"/>
      <c r="FR2542" s="46"/>
      <c r="FS2542" s="46"/>
      <c r="FT2542" s="46"/>
      <c r="FU2542" s="46"/>
      <c r="FV2542" s="46"/>
      <c r="FW2542" s="46"/>
      <c r="FX2542" s="46"/>
      <c r="FY2542" s="46"/>
      <c r="FZ2542" s="46"/>
      <c r="GA2542" s="46"/>
      <c r="GB2542" s="46"/>
      <c r="GC2542" s="46"/>
      <c r="GD2542" s="46"/>
      <c r="GE2542" s="46"/>
      <c r="GF2542" s="46"/>
      <c r="GG2542" s="46"/>
      <c r="GH2542" s="46"/>
      <c r="GI2542" s="46"/>
      <c r="GJ2542" s="46"/>
      <c r="GK2542" s="46"/>
      <c r="GL2542" s="46"/>
      <c r="GM2542" s="46"/>
      <c r="GN2542" s="46"/>
      <c r="GO2542" s="46"/>
      <c r="GP2542" s="46"/>
      <c r="GQ2542" s="46"/>
      <c r="GR2542" s="46"/>
      <c r="GS2542" s="46"/>
      <c r="GT2542" s="46"/>
      <c r="GU2542" s="46"/>
    </row>
    <row r="2543" spans="1:203" s="58" customFormat="1" ht="30" customHeight="1" x14ac:dyDescent="0.4">
      <c r="A2543" s="24">
        <f>A2542+1</f>
        <v>1079</v>
      </c>
      <c r="B2543" s="59" t="s">
        <v>77</v>
      </c>
      <c r="C2543" s="70" t="s">
        <v>29</v>
      </c>
      <c r="D2543" s="67">
        <f>((0.057*3.14*0.15)+(0.114*3.14*4))</f>
        <v>1.4586870000000001</v>
      </c>
      <c r="E2543" s="66"/>
      <c r="F2543" s="57"/>
    </row>
    <row r="2544" spans="1:203" s="58" customFormat="1" ht="30" hidden="1" customHeight="1" outlineLevel="1" x14ac:dyDescent="0.4">
      <c r="A2544" s="54"/>
      <c r="B2544" s="48" t="s">
        <v>78</v>
      </c>
      <c r="C2544" s="49" t="s">
        <v>74</v>
      </c>
      <c r="D2544" s="68">
        <f>D2543*0.255</f>
        <v>0.37196518500000003</v>
      </c>
      <c r="E2544" s="69">
        <v>1E-3</v>
      </c>
      <c r="F2544" s="57"/>
    </row>
    <row r="2545" spans="1:28" s="58" customFormat="1" ht="30" customHeight="1" collapsed="1" x14ac:dyDescent="0.4">
      <c r="A2545" s="24">
        <f>A2543+1</f>
        <v>1080</v>
      </c>
      <c r="B2545" s="59" t="s">
        <v>79</v>
      </c>
      <c r="C2545" s="70" t="s">
        <v>29</v>
      </c>
      <c r="D2545" s="67">
        <f>((0.057*3.14*0.15)+(0.114*3.14*4))</f>
        <v>1.4586870000000001</v>
      </c>
      <c r="E2545" s="66"/>
      <c r="F2545" s="57"/>
    </row>
    <row r="2546" spans="1:28" s="58" customFormat="1" ht="30" hidden="1" customHeight="1" outlineLevel="1" x14ac:dyDescent="0.4">
      <c r="A2546" s="54"/>
      <c r="B2546" s="48" t="s">
        <v>80</v>
      </c>
      <c r="C2546" s="49" t="s">
        <v>74</v>
      </c>
      <c r="D2546" s="68">
        <f>D2545*0.36*2</f>
        <v>1.0502546399999999</v>
      </c>
      <c r="E2546" s="69">
        <v>1E-3</v>
      </c>
      <c r="F2546" s="57"/>
    </row>
    <row r="2547" spans="1:28" s="58" customFormat="1" ht="30" customHeight="1" collapsed="1" x14ac:dyDescent="0.4">
      <c r="A2547" s="24">
        <f>A2545+1</f>
        <v>1081</v>
      </c>
      <c r="B2547" s="59" t="s">
        <v>368</v>
      </c>
      <c r="C2547" s="70" t="s">
        <v>58</v>
      </c>
      <c r="D2547" s="40">
        <v>2</v>
      </c>
      <c r="E2547" s="66"/>
      <c r="F2547" s="57"/>
    </row>
    <row r="2548" spans="1:28" s="58" customFormat="1" ht="30" hidden="1" customHeight="1" outlineLevel="1" x14ac:dyDescent="0.4">
      <c r="A2548" s="54"/>
      <c r="B2548" s="48" t="s">
        <v>555</v>
      </c>
      <c r="C2548" s="49" t="s">
        <v>58</v>
      </c>
      <c r="D2548" s="75">
        <v>1</v>
      </c>
      <c r="E2548" s="51"/>
      <c r="F2548" s="57"/>
    </row>
    <row r="2549" spans="1:28" s="58" customFormat="1" ht="30" hidden="1" customHeight="1" outlineLevel="1" x14ac:dyDescent="0.4">
      <c r="A2549" s="54"/>
      <c r="B2549" s="48" t="s">
        <v>557</v>
      </c>
      <c r="C2549" s="49" t="s">
        <v>58</v>
      </c>
      <c r="D2549" s="75">
        <v>1</v>
      </c>
      <c r="E2549" s="51"/>
      <c r="F2549" s="57"/>
    </row>
    <row r="2550" spans="1:28" s="58" customFormat="1" ht="46.3" collapsed="1" x14ac:dyDescent="0.4">
      <c r="A2550" s="72">
        <f>A2547+1</f>
        <v>1082</v>
      </c>
      <c r="B2550" s="59" t="s">
        <v>364</v>
      </c>
      <c r="C2550" s="70" t="s">
        <v>19</v>
      </c>
      <c r="D2550" s="67">
        <v>0.16</v>
      </c>
      <c r="E2550" s="66"/>
      <c r="F2550" s="57"/>
    </row>
    <row r="2551" spans="1:28" s="58" customFormat="1" ht="30.9" hidden="1" outlineLevel="1" x14ac:dyDescent="0.4">
      <c r="A2551" s="54"/>
      <c r="B2551" s="48" t="s">
        <v>365</v>
      </c>
      <c r="C2551" s="49" t="s">
        <v>19</v>
      </c>
      <c r="D2551" s="68">
        <v>0.16</v>
      </c>
      <c r="E2551" s="69">
        <v>1E-3</v>
      </c>
      <c r="F2551" s="57"/>
      <c r="J2551" s="58">
        <v>1.08</v>
      </c>
    </row>
    <row r="2552" spans="1:28" s="58" customFormat="1" ht="30" customHeight="1" collapsed="1" x14ac:dyDescent="0.4">
      <c r="A2552" s="24">
        <f>A2550+1</f>
        <v>1083</v>
      </c>
      <c r="B2552" s="59" t="s">
        <v>366</v>
      </c>
      <c r="C2552" s="70" t="s">
        <v>29</v>
      </c>
      <c r="D2552" s="67">
        <v>2.65</v>
      </c>
      <c r="E2552" s="66"/>
      <c r="F2552" s="57"/>
    </row>
    <row r="2553" spans="1:28" s="58" customFormat="1" ht="30" hidden="1" customHeight="1" outlineLevel="1" x14ac:dyDescent="0.4">
      <c r="A2553" s="54"/>
      <c r="B2553" s="48" t="s">
        <v>367</v>
      </c>
      <c r="C2553" s="49" t="s">
        <v>29</v>
      </c>
      <c r="D2553" s="68">
        <v>2.65</v>
      </c>
      <c r="E2553" s="69"/>
      <c r="F2553" s="57"/>
      <c r="J2553" s="58">
        <v>1.22</v>
      </c>
    </row>
    <row r="2554" spans="1:28" ht="31" customHeight="1" collapsed="1" x14ac:dyDescent="0.35">
      <c r="A2554" s="24">
        <f>A2552+1</f>
        <v>1084</v>
      </c>
      <c r="B2554" s="25" t="s">
        <v>563</v>
      </c>
      <c r="C2554" s="70" t="s">
        <v>561</v>
      </c>
      <c r="D2554" s="26">
        <v>1</v>
      </c>
      <c r="E2554" s="41"/>
      <c r="F2554" s="42"/>
    </row>
    <row r="2555" spans="1:28" ht="31" customHeight="1" x14ac:dyDescent="0.35">
      <c r="A2555" s="24">
        <f>A2554+1</f>
        <v>1085</v>
      </c>
      <c r="B2555" s="25" t="s">
        <v>567</v>
      </c>
      <c r="C2555" s="70" t="s">
        <v>561</v>
      </c>
      <c r="D2555" s="26">
        <v>1</v>
      </c>
      <c r="E2555" s="41"/>
      <c r="F2555" s="42"/>
    </row>
    <row r="2556" spans="1:28" ht="31" customHeight="1" x14ac:dyDescent="0.35">
      <c r="A2556" s="24">
        <f>A2555+1</f>
        <v>1086</v>
      </c>
      <c r="B2556" s="25" t="s">
        <v>573</v>
      </c>
      <c r="C2556" s="89" t="s">
        <v>570</v>
      </c>
      <c r="D2556" s="26">
        <v>2</v>
      </c>
      <c r="E2556" s="41"/>
      <c r="F2556" s="42"/>
    </row>
    <row r="2557" spans="1:28" s="39" customFormat="1" ht="21" customHeight="1" x14ac:dyDescent="0.35">
      <c r="A2557" s="158" t="s">
        <v>880</v>
      </c>
      <c r="B2557" s="158"/>
      <c r="C2557" s="158"/>
      <c r="D2557" s="158"/>
      <c r="E2557" s="158"/>
      <c r="F2557" s="34"/>
      <c r="G2557" s="35"/>
      <c r="H2557" s="36"/>
      <c r="I2557" s="37"/>
      <c r="J2557" s="37"/>
      <c r="K2557" s="38"/>
      <c r="L2557" s="38"/>
      <c r="M2557" s="38"/>
      <c r="N2557" s="36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</row>
    <row r="2558" spans="1:28" s="58" customFormat="1" ht="30" customHeight="1" x14ac:dyDescent="0.4">
      <c r="A2558" s="72">
        <f>A2556+1</f>
        <v>1087</v>
      </c>
      <c r="B2558" s="25" t="s">
        <v>308</v>
      </c>
      <c r="C2558" s="89" t="s">
        <v>19</v>
      </c>
      <c r="D2558" s="105">
        <f>0.7*0.5*24</f>
        <v>8.3999999999999986</v>
      </c>
      <c r="E2558" s="91"/>
      <c r="F2558" s="57"/>
    </row>
    <row r="2559" spans="1:28" s="58" customFormat="1" ht="30" customHeight="1" x14ac:dyDescent="0.4">
      <c r="A2559" s="72">
        <f>A2558+1</f>
        <v>1088</v>
      </c>
      <c r="B2559" s="25" t="s">
        <v>309</v>
      </c>
      <c r="C2559" s="89" t="s">
        <v>19</v>
      </c>
      <c r="D2559" s="105">
        <f>0.7*0.5*24</f>
        <v>8.3999999999999986</v>
      </c>
      <c r="E2559" s="91"/>
      <c r="F2559" s="57"/>
    </row>
    <row r="2560" spans="1:28" s="58" customFormat="1" ht="30" customHeight="1" x14ac:dyDescent="0.4">
      <c r="A2560" s="24">
        <f>A2559+1</f>
        <v>1089</v>
      </c>
      <c r="B2560" s="25" t="s">
        <v>310</v>
      </c>
      <c r="C2560" s="89" t="s">
        <v>19</v>
      </c>
      <c r="D2560" s="105">
        <f>0.7*0.5*24</f>
        <v>8.3999999999999986</v>
      </c>
      <c r="E2560" s="91"/>
      <c r="F2560" s="57"/>
    </row>
    <row r="2561" spans="1:28" s="58" customFormat="1" ht="30" customHeight="1" x14ac:dyDescent="0.4">
      <c r="A2561" s="24">
        <f>A2560+1</f>
        <v>1090</v>
      </c>
      <c r="B2561" s="59" t="s">
        <v>403</v>
      </c>
      <c r="C2561" s="70" t="s">
        <v>132</v>
      </c>
      <c r="D2561" s="40">
        <v>24</v>
      </c>
      <c r="E2561" s="66"/>
      <c r="F2561" s="57"/>
    </row>
    <row r="2562" spans="1:28" s="58" customFormat="1" ht="30" hidden="1" customHeight="1" outlineLevel="1" x14ac:dyDescent="0.4">
      <c r="A2562" s="54"/>
      <c r="B2562" s="48" t="s">
        <v>404</v>
      </c>
      <c r="C2562" s="49" t="s">
        <v>14</v>
      </c>
      <c r="D2562" s="65">
        <f>24*1.26/1000</f>
        <v>3.0240000000000003E-2</v>
      </c>
      <c r="E2562" s="51">
        <v>0.03</v>
      </c>
      <c r="F2562" s="57"/>
    </row>
    <row r="2563" spans="1:28" ht="36" customHeight="1" collapsed="1" x14ac:dyDescent="0.35">
      <c r="A2563" s="24">
        <f>A2561+1</f>
        <v>1091</v>
      </c>
      <c r="B2563" s="59" t="s">
        <v>405</v>
      </c>
      <c r="C2563" s="26" t="s">
        <v>58</v>
      </c>
      <c r="D2563" s="82">
        <v>4</v>
      </c>
      <c r="E2563" s="41"/>
      <c r="F2563" s="42"/>
    </row>
    <row r="2564" spans="1:28" s="58" customFormat="1" ht="30" hidden="1" customHeight="1" outlineLevel="1" x14ac:dyDescent="0.4">
      <c r="A2564" s="54"/>
      <c r="B2564" s="48" t="s">
        <v>406</v>
      </c>
      <c r="C2564" s="49" t="s">
        <v>14</v>
      </c>
      <c r="D2564" s="65">
        <f>20*1.58/1000</f>
        <v>3.1600000000000003E-2</v>
      </c>
      <c r="E2564" s="51">
        <v>3.2000000000000001E-2</v>
      </c>
      <c r="F2564" s="57"/>
    </row>
    <row r="2565" spans="1:28" s="58" customFormat="1" ht="30" customHeight="1" collapsed="1" x14ac:dyDescent="0.4">
      <c r="A2565" s="24">
        <f>A2563+1</f>
        <v>1092</v>
      </c>
      <c r="B2565" s="71" t="s">
        <v>315</v>
      </c>
      <c r="C2565" s="40" t="s">
        <v>132</v>
      </c>
      <c r="D2565" s="40">
        <v>16</v>
      </c>
      <c r="E2565" s="66"/>
      <c r="F2565" s="57"/>
    </row>
    <row r="2566" spans="1:28" s="58" customFormat="1" ht="30" hidden="1" customHeight="1" outlineLevel="1" x14ac:dyDescent="0.4">
      <c r="A2566" s="87"/>
      <c r="B2566" s="48" t="s">
        <v>314</v>
      </c>
      <c r="C2566" s="75" t="s">
        <v>14</v>
      </c>
      <c r="D2566" s="65">
        <f>16*1.26/1000</f>
        <v>2.0160000000000001E-2</v>
      </c>
      <c r="E2566" s="88">
        <v>0.02</v>
      </c>
      <c r="F2566" s="57"/>
    </row>
    <row r="2567" spans="1:28" ht="36" customHeight="1" collapsed="1" x14ac:dyDescent="0.35">
      <c r="A2567" s="24">
        <f>A2565+1</f>
        <v>1093</v>
      </c>
      <c r="B2567" s="59" t="s">
        <v>316</v>
      </c>
      <c r="C2567" s="26" t="s">
        <v>132</v>
      </c>
      <c r="D2567" s="82">
        <v>10</v>
      </c>
      <c r="E2567" s="41"/>
      <c r="F2567" s="42"/>
    </row>
    <row r="2568" spans="1:28" s="58" customFormat="1" ht="30" hidden="1" customHeight="1" outlineLevel="1" x14ac:dyDescent="0.4">
      <c r="A2568" s="54"/>
      <c r="B2568" s="48" t="s">
        <v>407</v>
      </c>
      <c r="C2568" s="49" t="s">
        <v>132</v>
      </c>
      <c r="D2568" s="55">
        <v>10</v>
      </c>
      <c r="E2568" s="51"/>
      <c r="F2568" s="57"/>
    </row>
    <row r="2569" spans="1:28" s="58" customFormat="1" ht="30" hidden="1" customHeight="1" outlineLevel="1" x14ac:dyDescent="0.4">
      <c r="A2569" s="54"/>
      <c r="B2569" s="48" t="s">
        <v>408</v>
      </c>
      <c r="C2569" s="49" t="s">
        <v>58</v>
      </c>
      <c r="D2569" s="55">
        <v>20</v>
      </c>
      <c r="E2569" s="51"/>
      <c r="F2569" s="57"/>
    </row>
    <row r="2570" spans="1:28" s="58" customFormat="1" ht="30" hidden="1" customHeight="1" outlineLevel="1" x14ac:dyDescent="0.4">
      <c r="A2570" s="54"/>
      <c r="B2570" s="48" t="s">
        <v>409</v>
      </c>
      <c r="C2570" s="49" t="s">
        <v>58</v>
      </c>
      <c r="D2570" s="55">
        <v>20</v>
      </c>
      <c r="E2570" s="51"/>
      <c r="F2570" s="57"/>
    </row>
    <row r="2571" spans="1:28" s="58" customFormat="1" ht="30" hidden="1" customHeight="1" outlineLevel="1" x14ac:dyDescent="0.4">
      <c r="A2571" s="54"/>
      <c r="B2571" s="48" t="s">
        <v>410</v>
      </c>
      <c r="C2571" s="49" t="s">
        <v>58</v>
      </c>
      <c r="D2571" s="55">
        <v>20</v>
      </c>
      <c r="E2571" s="51"/>
      <c r="F2571" s="57"/>
    </row>
    <row r="2572" spans="1:28" s="58" customFormat="1" ht="30" hidden="1" customHeight="1" outlineLevel="1" x14ac:dyDescent="0.4">
      <c r="A2572" s="54"/>
      <c r="B2572" s="48" t="s">
        <v>411</v>
      </c>
      <c r="C2572" s="49" t="s">
        <v>58</v>
      </c>
      <c r="D2572" s="55">
        <v>40</v>
      </c>
      <c r="E2572" s="51"/>
      <c r="F2572" s="57"/>
    </row>
    <row r="2573" spans="1:28" s="39" customFormat="1" ht="30" customHeight="1" collapsed="1" x14ac:dyDescent="0.35">
      <c r="A2573" s="153" t="s">
        <v>881</v>
      </c>
      <c r="B2573" s="153"/>
      <c r="C2573" s="153"/>
      <c r="D2573" s="153"/>
      <c r="E2573" s="153"/>
      <c r="F2573" s="34"/>
      <c r="G2573" s="35"/>
      <c r="H2573" s="36"/>
      <c r="I2573" s="37"/>
      <c r="J2573" s="37"/>
      <c r="K2573" s="38"/>
      <c r="L2573" s="38"/>
      <c r="M2573" s="38"/>
      <c r="N2573" s="36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</row>
    <row r="2574" spans="1:28" s="39" customFormat="1" ht="21" customHeight="1" x14ac:dyDescent="0.35">
      <c r="A2574" s="158" t="s">
        <v>882</v>
      </c>
      <c r="B2574" s="158"/>
      <c r="C2574" s="158"/>
      <c r="D2574" s="158"/>
      <c r="E2574" s="158"/>
      <c r="F2574" s="34"/>
      <c r="G2574" s="35"/>
      <c r="H2574" s="36"/>
      <c r="I2574" s="37"/>
      <c r="J2574" s="37"/>
      <c r="K2574" s="38"/>
      <c r="L2574" s="38"/>
      <c r="M2574" s="38"/>
      <c r="N2574" s="36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</row>
    <row r="2575" spans="1:28" s="39" customFormat="1" ht="21" customHeight="1" x14ac:dyDescent="0.35">
      <c r="A2575" s="154" t="s">
        <v>181</v>
      </c>
      <c r="B2575" s="154"/>
      <c r="C2575" s="154"/>
      <c r="D2575" s="154"/>
      <c r="E2575" s="154"/>
      <c r="F2575" s="34"/>
      <c r="G2575" s="35"/>
      <c r="H2575" s="36"/>
      <c r="I2575" s="37"/>
      <c r="J2575" s="37"/>
      <c r="K2575" s="38"/>
      <c r="L2575" s="38"/>
      <c r="M2575" s="38"/>
      <c r="N2575" s="36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</row>
    <row r="2576" spans="1:28" s="58" customFormat="1" ht="30" customHeight="1" x14ac:dyDescent="0.4">
      <c r="A2576" s="24">
        <f>A2567+1</f>
        <v>1094</v>
      </c>
      <c r="B2576" s="59" t="s">
        <v>109</v>
      </c>
      <c r="C2576" s="70" t="s">
        <v>14</v>
      </c>
      <c r="D2576" s="27">
        <v>0.13</v>
      </c>
      <c r="E2576" s="66"/>
      <c r="F2576" s="57"/>
    </row>
    <row r="2577" spans="1:203" s="58" customFormat="1" ht="30" hidden="1" customHeight="1" outlineLevel="1" x14ac:dyDescent="0.4">
      <c r="A2577" s="54"/>
      <c r="B2577" s="48" t="s">
        <v>114</v>
      </c>
      <c r="C2577" s="49" t="s">
        <v>14</v>
      </c>
      <c r="D2577" s="65">
        <f>((24.13+2.26+4.6+6.48+2.11+0.98+6.79))*2/1000</f>
        <v>9.4699999999999993E-2</v>
      </c>
      <c r="E2577" s="51"/>
      <c r="F2577" s="57"/>
    </row>
    <row r="2578" spans="1:203" s="58" customFormat="1" ht="30" hidden="1" customHeight="1" outlineLevel="1" x14ac:dyDescent="0.4">
      <c r="A2578" s="54"/>
      <c r="B2578" s="48" t="s">
        <v>110</v>
      </c>
      <c r="C2578" s="49" t="s">
        <v>14</v>
      </c>
      <c r="D2578" s="65">
        <f>(3.85+7.85+5.99)*2/1000</f>
        <v>3.5379999999999995E-2</v>
      </c>
      <c r="E2578" s="51"/>
      <c r="F2578" s="57"/>
    </row>
    <row r="2579" spans="1:203" s="58" customFormat="1" ht="30" customHeight="1" collapsed="1" x14ac:dyDescent="0.4">
      <c r="A2579" s="72">
        <f>A2576+1</f>
        <v>1095</v>
      </c>
      <c r="B2579" s="59" t="s">
        <v>118</v>
      </c>
      <c r="C2579" s="70" t="s">
        <v>14</v>
      </c>
      <c r="D2579" s="27">
        <v>0.13</v>
      </c>
      <c r="E2579" s="66"/>
      <c r="F2579" s="57"/>
    </row>
    <row r="2580" spans="1:203" s="43" customFormat="1" ht="30" customHeight="1" x14ac:dyDescent="0.35">
      <c r="A2580" s="24">
        <f>A2579+1</f>
        <v>1096</v>
      </c>
      <c r="B2580" s="25" t="s">
        <v>883</v>
      </c>
      <c r="C2580" s="26" t="s">
        <v>19</v>
      </c>
      <c r="D2580" s="67">
        <f>(6.45+6.45+3+3)*0.6*0.3</f>
        <v>3.4019999999999992</v>
      </c>
      <c r="E2580" s="41"/>
      <c r="F2580" s="42"/>
      <c r="H2580" s="44"/>
      <c r="K2580" s="45"/>
      <c r="L2580" s="45"/>
      <c r="M2580" s="45"/>
      <c r="N2580" s="44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6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  <c r="BP2580" s="46"/>
      <c r="BQ2580" s="46"/>
      <c r="BR2580" s="46"/>
      <c r="BS2580" s="46"/>
      <c r="BT2580" s="46"/>
      <c r="BU2580" s="46"/>
      <c r="BV2580" s="46"/>
      <c r="BW2580" s="46"/>
      <c r="BX2580" s="46"/>
      <c r="BY2580" s="46"/>
      <c r="BZ2580" s="46"/>
      <c r="CA2580" s="46"/>
      <c r="CB2580" s="46"/>
      <c r="CC2580" s="46"/>
      <c r="CD2580" s="46"/>
      <c r="CE2580" s="46"/>
      <c r="CF2580" s="46"/>
      <c r="CG2580" s="46"/>
      <c r="CH2580" s="46"/>
      <c r="CI2580" s="46"/>
      <c r="CJ2580" s="46"/>
      <c r="CK2580" s="46"/>
      <c r="CL2580" s="46"/>
      <c r="CM2580" s="46"/>
      <c r="CN2580" s="46"/>
      <c r="CO2580" s="46"/>
      <c r="CP2580" s="46"/>
      <c r="CQ2580" s="46"/>
      <c r="CR2580" s="46"/>
      <c r="CS2580" s="46"/>
      <c r="CT2580" s="46"/>
      <c r="CU2580" s="46"/>
      <c r="CV2580" s="46"/>
      <c r="CW2580" s="46"/>
      <c r="CX2580" s="46"/>
      <c r="CY2580" s="46"/>
      <c r="CZ2580" s="46"/>
      <c r="DA2580" s="46"/>
      <c r="DB2580" s="46"/>
      <c r="DC2580" s="46"/>
      <c r="DD2580" s="46"/>
      <c r="DE2580" s="46"/>
      <c r="DF2580" s="46"/>
      <c r="DG2580" s="46"/>
      <c r="DH2580" s="46"/>
      <c r="DI2580" s="46"/>
      <c r="DJ2580" s="46"/>
      <c r="DK2580" s="46"/>
      <c r="DL2580" s="46"/>
      <c r="DM2580" s="46"/>
      <c r="DN2580" s="46"/>
      <c r="DO2580" s="46"/>
      <c r="DP2580" s="46"/>
      <c r="DQ2580" s="46"/>
      <c r="DR2580" s="46"/>
      <c r="DS2580" s="46"/>
      <c r="DT2580" s="46"/>
      <c r="DU2580" s="46"/>
      <c r="DV2580" s="46"/>
      <c r="DW2580" s="46"/>
      <c r="DX2580" s="46"/>
      <c r="DY2580" s="46"/>
      <c r="DZ2580" s="46"/>
      <c r="EA2580" s="46"/>
      <c r="EB2580" s="46"/>
      <c r="EC2580" s="46"/>
      <c r="ED2580" s="46"/>
      <c r="EE2580" s="46"/>
      <c r="EF2580" s="46"/>
      <c r="EG2580" s="46"/>
      <c r="EH2580" s="46"/>
      <c r="EI2580" s="46"/>
      <c r="EJ2580" s="46"/>
      <c r="EK2580" s="46"/>
      <c r="EL2580" s="46"/>
      <c r="EM2580" s="46"/>
      <c r="EN2580" s="46"/>
      <c r="EO2580" s="46"/>
      <c r="EP2580" s="46"/>
      <c r="EQ2580" s="46"/>
      <c r="ER2580" s="46"/>
      <c r="ES2580" s="46"/>
      <c r="ET2580" s="46"/>
      <c r="EU2580" s="46"/>
      <c r="EV2580" s="46"/>
      <c r="EW2580" s="46"/>
      <c r="EX2580" s="46"/>
      <c r="EY2580" s="46"/>
      <c r="EZ2580" s="46"/>
      <c r="FA2580" s="46"/>
      <c r="FB2580" s="46"/>
      <c r="FC2580" s="46"/>
      <c r="FD2580" s="46"/>
      <c r="FE2580" s="46"/>
      <c r="FF2580" s="46"/>
      <c r="FG2580" s="46"/>
      <c r="FH2580" s="46"/>
      <c r="FI2580" s="46"/>
      <c r="FJ2580" s="46"/>
      <c r="FK2580" s="46"/>
      <c r="FL2580" s="46"/>
      <c r="FM2580" s="46"/>
      <c r="FN2580" s="46"/>
      <c r="FO2580" s="46"/>
      <c r="FP2580" s="46"/>
      <c r="FQ2580" s="46"/>
      <c r="FR2580" s="46"/>
      <c r="FS2580" s="46"/>
      <c r="FT2580" s="46"/>
      <c r="FU2580" s="46"/>
      <c r="FV2580" s="46"/>
      <c r="FW2580" s="46"/>
      <c r="FX2580" s="46"/>
      <c r="FY2580" s="46"/>
      <c r="FZ2580" s="46"/>
      <c r="GA2580" s="46"/>
      <c r="GB2580" s="46"/>
      <c r="GC2580" s="46"/>
      <c r="GD2580" s="46"/>
      <c r="GE2580" s="46"/>
      <c r="GF2580" s="46"/>
      <c r="GG2580" s="46"/>
      <c r="GH2580" s="46"/>
      <c r="GI2580" s="46"/>
      <c r="GJ2580" s="46"/>
      <c r="GK2580" s="46"/>
      <c r="GL2580" s="46"/>
      <c r="GM2580" s="46"/>
      <c r="GN2580" s="46"/>
      <c r="GO2580" s="46"/>
      <c r="GP2580" s="46"/>
      <c r="GQ2580" s="46"/>
      <c r="GR2580" s="46"/>
      <c r="GS2580" s="46"/>
      <c r="GT2580" s="46"/>
      <c r="GU2580" s="46"/>
    </row>
    <row r="2581" spans="1:203" s="43" customFormat="1" ht="30" hidden="1" customHeight="1" outlineLevel="1" x14ac:dyDescent="0.35">
      <c r="A2581" s="47"/>
      <c r="B2581" s="48" t="s">
        <v>52</v>
      </c>
      <c r="C2581" s="49" t="s">
        <v>19</v>
      </c>
      <c r="D2581" s="50">
        <f>3.4</f>
        <v>3.4</v>
      </c>
      <c r="E2581" s="51"/>
      <c r="F2581" s="42"/>
      <c r="H2581" s="44"/>
      <c r="K2581" s="45"/>
      <c r="L2581" s="45"/>
      <c r="M2581" s="45"/>
      <c r="N2581" s="44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6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  <c r="BP2581" s="46"/>
      <c r="BQ2581" s="46"/>
      <c r="BR2581" s="46"/>
      <c r="BS2581" s="46"/>
      <c r="BT2581" s="46"/>
      <c r="BU2581" s="46"/>
      <c r="BV2581" s="46"/>
      <c r="BW2581" s="46"/>
      <c r="BX2581" s="46"/>
      <c r="BY2581" s="46"/>
      <c r="BZ2581" s="46"/>
      <c r="CA2581" s="46"/>
      <c r="CB2581" s="46"/>
      <c r="CC2581" s="46"/>
      <c r="CD2581" s="46"/>
      <c r="CE2581" s="46"/>
      <c r="CF2581" s="46"/>
      <c r="CG2581" s="46"/>
      <c r="CH2581" s="46"/>
      <c r="CI2581" s="46"/>
      <c r="CJ2581" s="46"/>
      <c r="CK2581" s="46"/>
      <c r="CL2581" s="46"/>
      <c r="CM2581" s="46"/>
      <c r="CN2581" s="46"/>
      <c r="CO2581" s="46"/>
      <c r="CP2581" s="46"/>
      <c r="CQ2581" s="46"/>
      <c r="CR2581" s="46"/>
      <c r="CS2581" s="46"/>
      <c r="CT2581" s="46"/>
      <c r="CU2581" s="46"/>
      <c r="CV2581" s="46"/>
      <c r="CW2581" s="46"/>
      <c r="CX2581" s="46"/>
      <c r="CY2581" s="46"/>
      <c r="CZ2581" s="46"/>
      <c r="DA2581" s="46"/>
      <c r="DB2581" s="46"/>
      <c r="DC2581" s="46"/>
      <c r="DD2581" s="46"/>
      <c r="DE2581" s="46"/>
      <c r="DF2581" s="46"/>
      <c r="DG2581" s="46"/>
      <c r="DH2581" s="46"/>
      <c r="DI2581" s="46"/>
      <c r="DJ2581" s="46"/>
      <c r="DK2581" s="46"/>
      <c r="DL2581" s="46"/>
      <c r="DM2581" s="46"/>
      <c r="DN2581" s="46"/>
      <c r="DO2581" s="46"/>
      <c r="DP2581" s="46"/>
      <c r="DQ2581" s="46"/>
      <c r="DR2581" s="46"/>
      <c r="DS2581" s="46"/>
      <c r="DT2581" s="46"/>
      <c r="DU2581" s="46"/>
      <c r="DV2581" s="46"/>
      <c r="DW2581" s="46"/>
      <c r="DX2581" s="46"/>
      <c r="DY2581" s="46"/>
      <c r="DZ2581" s="46"/>
      <c r="EA2581" s="46"/>
      <c r="EB2581" s="46"/>
      <c r="EC2581" s="46"/>
      <c r="ED2581" s="46"/>
      <c r="EE2581" s="46"/>
      <c r="EF2581" s="46"/>
      <c r="EG2581" s="46"/>
      <c r="EH2581" s="46"/>
      <c r="EI2581" s="46"/>
      <c r="EJ2581" s="46"/>
      <c r="EK2581" s="46"/>
      <c r="EL2581" s="46"/>
      <c r="EM2581" s="46"/>
      <c r="EN2581" s="46"/>
      <c r="EO2581" s="46"/>
      <c r="EP2581" s="46"/>
      <c r="EQ2581" s="46"/>
      <c r="ER2581" s="46"/>
      <c r="ES2581" s="46"/>
      <c r="ET2581" s="46"/>
      <c r="EU2581" s="46"/>
      <c r="EV2581" s="46"/>
      <c r="EW2581" s="46"/>
      <c r="EX2581" s="46"/>
      <c r="EY2581" s="46"/>
      <c r="EZ2581" s="46"/>
      <c r="FA2581" s="46"/>
      <c r="FB2581" s="46"/>
      <c r="FC2581" s="46"/>
      <c r="FD2581" s="46"/>
      <c r="FE2581" s="46"/>
      <c r="FF2581" s="46"/>
      <c r="FG2581" s="46"/>
      <c r="FH2581" s="46"/>
      <c r="FI2581" s="46"/>
      <c r="FJ2581" s="46"/>
      <c r="FK2581" s="46"/>
      <c r="FL2581" s="46"/>
      <c r="FM2581" s="46"/>
      <c r="FN2581" s="46"/>
      <c r="FO2581" s="46"/>
      <c r="FP2581" s="46"/>
      <c r="FQ2581" s="46"/>
      <c r="FR2581" s="46"/>
      <c r="FS2581" s="46"/>
      <c r="FT2581" s="46"/>
      <c r="FU2581" s="46"/>
      <c r="FV2581" s="46"/>
      <c r="FW2581" s="46"/>
      <c r="FX2581" s="46"/>
      <c r="FY2581" s="46"/>
      <c r="FZ2581" s="46"/>
      <c r="GA2581" s="46"/>
      <c r="GB2581" s="46"/>
      <c r="GC2581" s="46"/>
      <c r="GD2581" s="46"/>
      <c r="GE2581" s="46"/>
      <c r="GF2581" s="46"/>
      <c r="GG2581" s="46"/>
      <c r="GH2581" s="46"/>
      <c r="GI2581" s="46"/>
      <c r="GJ2581" s="46"/>
      <c r="GK2581" s="46"/>
      <c r="GL2581" s="46"/>
      <c r="GM2581" s="46"/>
      <c r="GN2581" s="46"/>
      <c r="GO2581" s="46"/>
      <c r="GP2581" s="46"/>
      <c r="GQ2581" s="46"/>
      <c r="GR2581" s="46"/>
      <c r="GS2581" s="46"/>
      <c r="GT2581" s="46"/>
      <c r="GU2581" s="46"/>
    </row>
    <row r="2582" spans="1:203" s="43" customFormat="1" ht="36" customHeight="1" collapsed="1" x14ac:dyDescent="0.35">
      <c r="A2582" s="24">
        <f>A2580+1</f>
        <v>1097</v>
      </c>
      <c r="B2582" s="59" t="s">
        <v>72</v>
      </c>
      <c r="C2582" s="26" t="s">
        <v>29</v>
      </c>
      <c r="D2582" s="67">
        <f>(((0.87*0.27)+(0.87*0.275)+(0.87*0.42))+((2.4+0.6+1.22+1.72+0.56+0.26+1.8)*0.05))*2*2</f>
        <v>5.0701999999999998</v>
      </c>
      <c r="E2582" s="41"/>
      <c r="F2582" s="42"/>
      <c r="H2582" s="44"/>
      <c r="K2582" s="45"/>
      <c r="L2582" s="45"/>
      <c r="M2582" s="45"/>
      <c r="N2582" s="44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6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  <c r="BP2582" s="46"/>
      <c r="BQ2582" s="46"/>
      <c r="BR2582" s="46"/>
      <c r="BS2582" s="46"/>
      <c r="BT2582" s="46"/>
      <c r="BU2582" s="46"/>
      <c r="BV2582" s="46"/>
      <c r="BW2582" s="46"/>
      <c r="BX2582" s="46"/>
      <c r="BY2582" s="46"/>
      <c r="BZ2582" s="46"/>
      <c r="CA2582" s="46"/>
      <c r="CB2582" s="46"/>
      <c r="CC2582" s="46"/>
      <c r="CD2582" s="46"/>
      <c r="CE2582" s="46"/>
      <c r="CF2582" s="46"/>
      <c r="CG2582" s="46"/>
      <c r="CH2582" s="46"/>
      <c r="CI2582" s="46"/>
      <c r="CJ2582" s="46"/>
      <c r="CK2582" s="46"/>
      <c r="CL2582" s="46"/>
      <c r="CM2582" s="46"/>
      <c r="CN2582" s="46"/>
      <c r="CO2582" s="46"/>
      <c r="CP2582" s="46"/>
      <c r="CQ2582" s="46"/>
      <c r="CR2582" s="46"/>
      <c r="CS2582" s="46"/>
      <c r="CT2582" s="46"/>
      <c r="CU2582" s="46"/>
      <c r="CV2582" s="46"/>
      <c r="CW2582" s="46"/>
      <c r="CX2582" s="46"/>
      <c r="CY2582" s="46"/>
      <c r="CZ2582" s="46"/>
      <c r="DA2582" s="46"/>
      <c r="DB2582" s="46"/>
      <c r="DC2582" s="46"/>
      <c r="DD2582" s="46"/>
      <c r="DE2582" s="46"/>
      <c r="DF2582" s="46"/>
      <c r="DG2582" s="46"/>
      <c r="DH2582" s="46"/>
      <c r="DI2582" s="46"/>
      <c r="DJ2582" s="46"/>
      <c r="DK2582" s="46"/>
      <c r="DL2582" s="46"/>
      <c r="DM2582" s="46"/>
      <c r="DN2582" s="46"/>
      <c r="DO2582" s="46"/>
      <c r="DP2582" s="46"/>
      <c r="DQ2582" s="46"/>
      <c r="DR2582" s="46"/>
      <c r="DS2582" s="46"/>
      <c r="DT2582" s="46"/>
      <c r="DU2582" s="46"/>
      <c r="DV2582" s="46"/>
      <c r="DW2582" s="46"/>
      <c r="DX2582" s="46"/>
      <c r="DY2582" s="46"/>
      <c r="DZ2582" s="46"/>
      <c r="EA2582" s="46"/>
      <c r="EB2582" s="46"/>
      <c r="EC2582" s="46"/>
      <c r="ED2582" s="46"/>
      <c r="EE2582" s="46"/>
      <c r="EF2582" s="46"/>
      <c r="EG2582" s="46"/>
      <c r="EH2582" s="46"/>
      <c r="EI2582" s="46"/>
      <c r="EJ2582" s="46"/>
      <c r="EK2582" s="46"/>
      <c r="EL2582" s="46"/>
      <c r="EM2582" s="46"/>
      <c r="EN2582" s="46"/>
      <c r="EO2582" s="46"/>
      <c r="EP2582" s="46"/>
      <c r="EQ2582" s="46"/>
      <c r="ER2582" s="46"/>
      <c r="ES2582" s="46"/>
      <c r="ET2582" s="46"/>
      <c r="EU2582" s="46"/>
      <c r="EV2582" s="46"/>
      <c r="EW2582" s="46"/>
      <c r="EX2582" s="46"/>
      <c r="EY2582" s="46"/>
      <c r="EZ2582" s="46"/>
      <c r="FA2582" s="46"/>
      <c r="FB2582" s="46"/>
      <c r="FC2582" s="46"/>
      <c r="FD2582" s="46"/>
      <c r="FE2582" s="46"/>
      <c r="FF2582" s="46"/>
      <c r="FG2582" s="46"/>
      <c r="FH2582" s="46"/>
      <c r="FI2582" s="46"/>
      <c r="FJ2582" s="46"/>
      <c r="FK2582" s="46"/>
      <c r="FL2582" s="46"/>
      <c r="FM2582" s="46"/>
      <c r="FN2582" s="46"/>
      <c r="FO2582" s="46"/>
      <c r="FP2582" s="46"/>
      <c r="FQ2582" s="46"/>
      <c r="FR2582" s="46"/>
      <c r="FS2582" s="46"/>
      <c r="FT2582" s="46"/>
      <c r="FU2582" s="46"/>
      <c r="FV2582" s="46"/>
      <c r="FW2582" s="46"/>
      <c r="FX2582" s="46"/>
      <c r="FY2582" s="46"/>
      <c r="FZ2582" s="46"/>
      <c r="GA2582" s="46"/>
      <c r="GB2582" s="46"/>
      <c r="GC2582" s="46"/>
      <c r="GD2582" s="46"/>
      <c r="GE2582" s="46"/>
      <c r="GF2582" s="46"/>
      <c r="GG2582" s="46"/>
      <c r="GH2582" s="46"/>
      <c r="GI2582" s="46"/>
      <c r="GJ2582" s="46"/>
      <c r="GK2582" s="46"/>
      <c r="GL2582" s="46"/>
      <c r="GM2582" s="46"/>
      <c r="GN2582" s="46"/>
      <c r="GO2582" s="46"/>
      <c r="GP2582" s="46"/>
      <c r="GQ2582" s="46"/>
      <c r="GR2582" s="46"/>
      <c r="GS2582" s="46"/>
      <c r="GT2582" s="46"/>
      <c r="GU2582" s="46"/>
    </row>
    <row r="2583" spans="1:203" s="58" customFormat="1" ht="30" hidden="1" customHeight="1" outlineLevel="1" x14ac:dyDescent="0.4">
      <c r="A2583" s="54"/>
      <c r="B2583" s="48" t="s">
        <v>73</v>
      </c>
      <c r="C2583" s="49" t="s">
        <v>74</v>
      </c>
      <c r="D2583" s="68">
        <f>3.31*D2582</f>
        <v>16.782361999999999</v>
      </c>
      <c r="E2583" s="69">
        <v>1.7000000000000001E-2</v>
      </c>
      <c r="F2583" s="57"/>
    </row>
    <row r="2584" spans="1:203" s="43" customFormat="1" ht="36" customHeight="1" collapsed="1" x14ac:dyDescent="0.35">
      <c r="A2584" s="24">
        <f>A2582+1</f>
        <v>1098</v>
      </c>
      <c r="B2584" s="59" t="s">
        <v>75</v>
      </c>
      <c r="C2584" s="26" t="s">
        <v>29</v>
      </c>
      <c r="D2584" s="67">
        <f>(((0.87*0.27)+(0.87*0.275)+(0.87*0.42))+((2.4+0.6+1.22+1.72+0.56+0.26+1.8)*0.05))*2*2</f>
        <v>5.0701999999999998</v>
      </c>
      <c r="E2584" s="41"/>
      <c r="F2584" s="42"/>
      <c r="H2584" s="44"/>
      <c r="K2584" s="45"/>
      <c r="L2584" s="45"/>
      <c r="M2584" s="45"/>
      <c r="N2584" s="44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6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  <c r="BP2584" s="46"/>
      <c r="BQ2584" s="46"/>
      <c r="BR2584" s="46"/>
      <c r="BS2584" s="46"/>
      <c r="BT2584" s="46"/>
      <c r="BU2584" s="46"/>
      <c r="BV2584" s="46"/>
      <c r="BW2584" s="46"/>
      <c r="BX2584" s="46"/>
      <c r="BY2584" s="46"/>
      <c r="BZ2584" s="46"/>
      <c r="CA2584" s="46"/>
      <c r="CB2584" s="46"/>
      <c r="CC2584" s="46"/>
      <c r="CD2584" s="46"/>
      <c r="CE2584" s="46"/>
      <c r="CF2584" s="46"/>
      <c r="CG2584" s="46"/>
      <c r="CH2584" s="46"/>
      <c r="CI2584" s="46"/>
      <c r="CJ2584" s="46"/>
      <c r="CK2584" s="46"/>
      <c r="CL2584" s="46"/>
      <c r="CM2584" s="46"/>
      <c r="CN2584" s="46"/>
      <c r="CO2584" s="46"/>
      <c r="CP2584" s="46"/>
      <c r="CQ2584" s="46"/>
      <c r="CR2584" s="46"/>
      <c r="CS2584" s="46"/>
      <c r="CT2584" s="46"/>
      <c r="CU2584" s="46"/>
      <c r="CV2584" s="46"/>
      <c r="CW2584" s="46"/>
      <c r="CX2584" s="46"/>
      <c r="CY2584" s="46"/>
      <c r="CZ2584" s="46"/>
      <c r="DA2584" s="46"/>
      <c r="DB2584" s="46"/>
      <c r="DC2584" s="46"/>
      <c r="DD2584" s="46"/>
      <c r="DE2584" s="46"/>
      <c r="DF2584" s="46"/>
      <c r="DG2584" s="46"/>
      <c r="DH2584" s="46"/>
      <c r="DI2584" s="46"/>
      <c r="DJ2584" s="46"/>
      <c r="DK2584" s="46"/>
      <c r="DL2584" s="46"/>
      <c r="DM2584" s="46"/>
      <c r="DN2584" s="46"/>
      <c r="DO2584" s="46"/>
      <c r="DP2584" s="46"/>
      <c r="DQ2584" s="46"/>
      <c r="DR2584" s="46"/>
      <c r="DS2584" s="46"/>
      <c r="DT2584" s="46"/>
      <c r="DU2584" s="46"/>
      <c r="DV2584" s="46"/>
      <c r="DW2584" s="46"/>
      <c r="DX2584" s="46"/>
      <c r="DY2584" s="46"/>
      <c r="DZ2584" s="46"/>
      <c r="EA2584" s="46"/>
      <c r="EB2584" s="46"/>
      <c r="EC2584" s="46"/>
      <c r="ED2584" s="46"/>
      <c r="EE2584" s="46"/>
      <c r="EF2584" s="46"/>
      <c r="EG2584" s="46"/>
      <c r="EH2584" s="46"/>
      <c r="EI2584" s="46"/>
      <c r="EJ2584" s="46"/>
      <c r="EK2584" s="46"/>
      <c r="EL2584" s="46"/>
      <c r="EM2584" s="46"/>
      <c r="EN2584" s="46"/>
      <c r="EO2584" s="46"/>
      <c r="EP2584" s="46"/>
      <c r="EQ2584" s="46"/>
      <c r="ER2584" s="46"/>
      <c r="ES2584" s="46"/>
      <c r="ET2584" s="46"/>
      <c r="EU2584" s="46"/>
      <c r="EV2584" s="46"/>
      <c r="EW2584" s="46"/>
      <c r="EX2584" s="46"/>
      <c r="EY2584" s="46"/>
      <c r="EZ2584" s="46"/>
      <c r="FA2584" s="46"/>
      <c r="FB2584" s="46"/>
      <c r="FC2584" s="46"/>
      <c r="FD2584" s="46"/>
      <c r="FE2584" s="46"/>
      <c r="FF2584" s="46"/>
      <c r="FG2584" s="46"/>
      <c r="FH2584" s="46"/>
      <c r="FI2584" s="46"/>
      <c r="FJ2584" s="46"/>
      <c r="FK2584" s="46"/>
      <c r="FL2584" s="46"/>
      <c r="FM2584" s="46"/>
      <c r="FN2584" s="46"/>
      <c r="FO2584" s="46"/>
      <c r="FP2584" s="46"/>
      <c r="FQ2584" s="46"/>
      <c r="FR2584" s="46"/>
      <c r="FS2584" s="46"/>
      <c r="FT2584" s="46"/>
      <c r="FU2584" s="46"/>
      <c r="FV2584" s="46"/>
      <c r="FW2584" s="46"/>
      <c r="FX2584" s="46"/>
      <c r="FY2584" s="46"/>
      <c r="FZ2584" s="46"/>
      <c r="GA2584" s="46"/>
      <c r="GB2584" s="46"/>
      <c r="GC2584" s="46"/>
      <c r="GD2584" s="46"/>
      <c r="GE2584" s="46"/>
      <c r="GF2584" s="46"/>
      <c r="GG2584" s="46"/>
      <c r="GH2584" s="46"/>
      <c r="GI2584" s="46"/>
      <c r="GJ2584" s="46"/>
      <c r="GK2584" s="46"/>
      <c r="GL2584" s="46"/>
      <c r="GM2584" s="46"/>
      <c r="GN2584" s="46"/>
      <c r="GO2584" s="46"/>
      <c r="GP2584" s="46"/>
      <c r="GQ2584" s="46"/>
      <c r="GR2584" s="46"/>
      <c r="GS2584" s="46"/>
      <c r="GT2584" s="46"/>
      <c r="GU2584" s="46"/>
    </row>
    <row r="2585" spans="1:203" s="43" customFormat="1" ht="36" customHeight="1" x14ac:dyDescent="0.35">
      <c r="A2585" s="24">
        <f>A2584+1</f>
        <v>1099</v>
      </c>
      <c r="B2585" s="59" t="s">
        <v>76</v>
      </c>
      <c r="C2585" s="26" t="s">
        <v>29</v>
      </c>
      <c r="D2585" s="67">
        <f>(((0.87*0.27)+(0.87*0.275)+(0.87*0.42))+((2.4+0.6+1.22+1.72+0.56+0.26+1.8)*0.05))*2*2</f>
        <v>5.0701999999999998</v>
      </c>
      <c r="E2585" s="41"/>
      <c r="F2585" s="42"/>
      <c r="H2585" s="44"/>
      <c r="K2585" s="45"/>
      <c r="L2585" s="45"/>
      <c r="M2585" s="45"/>
      <c r="N2585" s="44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6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  <c r="BP2585" s="46"/>
      <c r="BQ2585" s="46"/>
      <c r="BR2585" s="46"/>
      <c r="BS2585" s="46"/>
      <c r="BT2585" s="46"/>
      <c r="BU2585" s="46"/>
      <c r="BV2585" s="46"/>
      <c r="BW2585" s="46"/>
      <c r="BX2585" s="46"/>
      <c r="BY2585" s="46"/>
      <c r="BZ2585" s="46"/>
      <c r="CA2585" s="46"/>
      <c r="CB2585" s="46"/>
      <c r="CC2585" s="46"/>
      <c r="CD2585" s="46"/>
      <c r="CE2585" s="46"/>
      <c r="CF2585" s="46"/>
      <c r="CG2585" s="46"/>
      <c r="CH2585" s="46"/>
      <c r="CI2585" s="46"/>
      <c r="CJ2585" s="46"/>
      <c r="CK2585" s="46"/>
      <c r="CL2585" s="46"/>
      <c r="CM2585" s="46"/>
      <c r="CN2585" s="46"/>
      <c r="CO2585" s="46"/>
      <c r="CP2585" s="46"/>
      <c r="CQ2585" s="46"/>
      <c r="CR2585" s="46"/>
      <c r="CS2585" s="46"/>
      <c r="CT2585" s="46"/>
      <c r="CU2585" s="46"/>
      <c r="CV2585" s="46"/>
      <c r="CW2585" s="46"/>
      <c r="CX2585" s="46"/>
      <c r="CY2585" s="46"/>
      <c r="CZ2585" s="46"/>
      <c r="DA2585" s="46"/>
      <c r="DB2585" s="46"/>
      <c r="DC2585" s="46"/>
      <c r="DD2585" s="46"/>
      <c r="DE2585" s="46"/>
      <c r="DF2585" s="46"/>
      <c r="DG2585" s="46"/>
      <c r="DH2585" s="46"/>
      <c r="DI2585" s="46"/>
      <c r="DJ2585" s="46"/>
      <c r="DK2585" s="46"/>
      <c r="DL2585" s="46"/>
      <c r="DM2585" s="46"/>
      <c r="DN2585" s="46"/>
      <c r="DO2585" s="46"/>
      <c r="DP2585" s="46"/>
      <c r="DQ2585" s="46"/>
      <c r="DR2585" s="46"/>
      <c r="DS2585" s="46"/>
      <c r="DT2585" s="46"/>
      <c r="DU2585" s="46"/>
      <c r="DV2585" s="46"/>
      <c r="DW2585" s="46"/>
      <c r="DX2585" s="46"/>
      <c r="DY2585" s="46"/>
      <c r="DZ2585" s="46"/>
      <c r="EA2585" s="46"/>
      <c r="EB2585" s="46"/>
      <c r="EC2585" s="46"/>
      <c r="ED2585" s="46"/>
      <c r="EE2585" s="46"/>
      <c r="EF2585" s="46"/>
      <c r="EG2585" s="46"/>
      <c r="EH2585" s="46"/>
      <c r="EI2585" s="46"/>
      <c r="EJ2585" s="46"/>
      <c r="EK2585" s="46"/>
      <c r="EL2585" s="46"/>
      <c r="EM2585" s="46"/>
      <c r="EN2585" s="46"/>
      <c r="EO2585" s="46"/>
      <c r="EP2585" s="46"/>
      <c r="EQ2585" s="46"/>
      <c r="ER2585" s="46"/>
      <c r="ES2585" s="46"/>
      <c r="ET2585" s="46"/>
      <c r="EU2585" s="46"/>
      <c r="EV2585" s="46"/>
      <c r="EW2585" s="46"/>
      <c r="EX2585" s="46"/>
      <c r="EY2585" s="46"/>
      <c r="EZ2585" s="46"/>
      <c r="FA2585" s="46"/>
      <c r="FB2585" s="46"/>
      <c r="FC2585" s="46"/>
      <c r="FD2585" s="46"/>
      <c r="FE2585" s="46"/>
      <c r="FF2585" s="46"/>
      <c r="FG2585" s="46"/>
      <c r="FH2585" s="46"/>
      <c r="FI2585" s="46"/>
      <c r="FJ2585" s="46"/>
      <c r="FK2585" s="46"/>
      <c r="FL2585" s="46"/>
      <c r="FM2585" s="46"/>
      <c r="FN2585" s="46"/>
      <c r="FO2585" s="46"/>
      <c r="FP2585" s="46"/>
      <c r="FQ2585" s="46"/>
      <c r="FR2585" s="46"/>
      <c r="FS2585" s="46"/>
      <c r="FT2585" s="46"/>
      <c r="FU2585" s="46"/>
      <c r="FV2585" s="46"/>
      <c r="FW2585" s="46"/>
      <c r="FX2585" s="46"/>
      <c r="FY2585" s="46"/>
      <c r="FZ2585" s="46"/>
      <c r="GA2585" s="46"/>
      <c r="GB2585" s="46"/>
      <c r="GC2585" s="46"/>
      <c r="GD2585" s="46"/>
      <c r="GE2585" s="46"/>
      <c r="GF2585" s="46"/>
      <c r="GG2585" s="46"/>
      <c r="GH2585" s="46"/>
      <c r="GI2585" s="46"/>
      <c r="GJ2585" s="46"/>
      <c r="GK2585" s="46"/>
      <c r="GL2585" s="46"/>
      <c r="GM2585" s="46"/>
      <c r="GN2585" s="46"/>
      <c r="GO2585" s="46"/>
      <c r="GP2585" s="46"/>
      <c r="GQ2585" s="46"/>
      <c r="GR2585" s="46"/>
      <c r="GS2585" s="46"/>
      <c r="GT2585" s="46"/>
      <c r="GU2585" s="46"/>
    </row>
    <row r="2586" spans="1:203" s="58" customFormat="1" ht="30" customHeight="1" x14ac:dyDescent="0.4">
      <c r="A2586" s="24">
        <f>A2585+1</f>
        <v>1100</v>
      </c>
      <c r="B2586" s="59" t="s">
        <v>77</v>
      </c>
      <c r="C2586" s="70" t="s">
        <v>29</v>
      </c>
      <c r="D2586" s="67">
        <f>(((0.87*0.27)+(0.87*0.275)+(0.87*0.42))+((2.4+0.6+1.22+1.72+0.56+0.26+1.8)*0.05))*2*2</f>
        <v>5.0701999999999998</v>
      </c>
      <c r="E2586" s="66"/>
      <c r="F2586" s="57"/>
    </row>
    <row r="2587" spans="1:203" s="58" customFormat="1" ht="30" hidden="1" customHeight="1" outlineLevel="1" x14ac:dyDescent="0.4">
      <c r="A2587" s="54"/>
      <c r="B2587" s="48" t="s">
        <v>78</v>
      </c>
      <c r="C2587" s="49" t="s">
        <v>74</v>
      </c>
      <c r="D2587" s="68">
        <f>D2586*0.255</f>
        <v>1.2929010000000001</v>
      </c>
      <c r="E2587" s="69">
        <v>1E-3</v>
      </c>
      <c r="F2587" s="57"/>
    </row>
    <row r="2588" spans="1:203" s="58" customFormat="1" ht="30" customHeight="1" collapsed="1" x14ac:dyDescent="0.4">
      <c r="A2588" s="24">
        <f>A2586+1</f>
        <v>1101</v>
      </c>
      <c r="B2588" s="59" t="s">
        <v>79</v>
      </c>
      <c r="C2588" s="70" t="s">
        <v>29</v>
      </c>
      <c r="D2588" s="67">
        <f>(((0.87*0.27)+(0.87*0.275)+(0.87*0.42))+((2.4+0.6+1.22+1.72+0.56+0.26+1.8)*0.05))*2*2</f>
        <v>5.0701999999999998</v>
      </c>
      <c r="E2588" s="66"/>
      <c r="F2588" s="57"/>
    </row>
    <row r="2589" spans="1:203" s="58" customFormat="1" ht="30" hidden="1" customHeight="1" outlineLevel="1" x14ac:dyDescent="0.4">
      <c r="A2589" s="54"/>
      <c r="B2589" s="48" t="s">
        <v>80</v>
      </c>
      <c r="C2589" s="49" t="s">
        <v>74</v>
      </c>
      <c r="D2589" s="68">
        <f>D2588*0.36*2</f>
        <v>3.6505439999999996</v>
      </c>
      <c r="E2589" s="69">
        <v>4.0000000000000001E-3</v>
      </c>
      <c r="F2589" s="57"/>
    </row>
    <row r="2590" spans="1:203" s="43" customFormat="1" ht="36" customHeight="1" collapsed="1" x14ac:dyDescent="0.35">
      <c r="A2590" s="24">
        <f>A2588+1</f>
        <v>1102</v>
      </c>
      <c r="B2590" s="59" t="s">
        <v>766</v>
      </c>
      <c r="C2590" s="26" t="s">
        <v>29</v>
      </c>
      <c r="D2590" s="67">
        <f>6.2*4.2</f>
        <v>26.040000000000003</v>
      </c>
      <c r="E2590" s="41"/>
      <c r="F2590" s="42"/>
      <c r="H2590" s="44"/>
      <c r="K2590" s="45"/>
      <c r="L2590" s="45"/>
      <c r="M2590" s="45"/>
      <c r="N2590" s="44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6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  <c r="BP2590" s="46"/>
      <c r="BQ2590" s="46"/>
      <c r="BR2590" s="46"/>
      <c r="BS2590" s="46"/>
      <c r="BT2590" s="46"/>
      <c r="BU2590" s="46"/>
      <c r="BV2590" s="46"/>
      <c r="BW2590" s="46"/>
      <c r="BX2590" s="46"/>
      <c r="BY2590" s="46"/>
      <c r="BZ2590" s="46"/>
      <c r="CA2590" s="46"/>
      <c r="CB2590" s="46"/>
      <c r="CC2590" s="46"/>
      <c r="CD2590" s="46"/>
      <c r="CE2590" s="46"/>
      <c r="CF2590" s="46"/>
      <c r="CG2590" s="46"/>
      <c r="CH2590" s="46"/>
      <c r="CI2590" s="46"/>
      <c r="CJ2590" s="46"/>
      <c r="CK2590" s="46"/>
      <c r="CL2590" s="46"/>
      <c r="CM2590" s="46"/>
      <c r="CN2590" s="46"/>
      <c r="CO2590" s="46"/>
      <c r="CP2590" s="46"/>
      <c r="CQ2590" s="46"/>
      <c r="CR2590" s="46"/>
      <c r="CS2590" s="46"/>
      <c r="CT2590" s="46"/>
      <c r="CU2590" s="46"/>
      <c r="CV2590" s="46"/>
      <c r="CW2590" s="46"/>
      <c r="CX2590" s="46"/>
      <c r="CY2590" s="46"/>
      <c r="CZ2590" s="46"/>
      <c r="DA2590" s="46"/>
      <c r="DB2590" s="46"/>
      <c r="DC2590" s="46"/>
      <c r="DD2590" s="46"/>
      <c r="DE2590" s="46"/>
      <c r="DF2590" s="46"/>
      <c r="DG2590" s="46"/>
      <c r="DH2590" s="46"/>
      <c r="DI2590" s="46"/>
      <c r="DJ2590" s="46"/>
      <c r="DK2590" s="46"/>
      <c r="DL2590" s="46"/>
      <c r="DM2590" s="46"/>
      <c r="DN2590" s="46"/>
      <c r="DO2590" s="46"/>
      <c r="DP2590" s="46"/>
      <c r="DQ2590" s="46"/>
      <c r="DR2590" s="46"/>
      <c r="DS2590" s="46"/>
      <c r="DT2590" s="46"/>
      <c r="DU2590" s="46"/>
      <c r="DV2590" s="46"/>
      <c r="DW2590" s="46"/>
      <c r="DX2590" s="46"/>
      <c r="DY2590" s="46"/>
      <c r="DZ2590" s="46"/>
      <c r="EA2590" s="46"/>
      <c r="EB2590" s="46"/>
      <c r="EC2590" s="46"/>
      <c r="ED2590" s="46"/>
      <c r="EE2590" s="46"/>
      <c r="EF2590" s="46"/>
      <c r="EG2590" s="46"/>
      <c r="EH2590" s="46"/>
      <c r="EI2590" s="46"/>
      <c r="EJ2590" s="46"/>
      <c r="EK2590" s="46"/>
      <c r="EL2590" s="46"/>
      <c r="EM2590" s="46"/>
      <c r="EN2590" s="46"/>
      <c r="EO2590" s="46"/>
      <c r="EP2590" s="46"/>
      <c r="EQ2590" s="46"/>
      <c r="ER2590" s="46"/>
      <c r="ES2590" s="46"/>
      <c r="ET2590" s="46"/>
      <c r="EU2590" s="46"/>
      <c r="EV2590" s="46"/>
      <c r="EW2590" s="46"/>
      <c r="EX2590" s="46"/>
      <c r="EY2590" s="46"/>
      <c r="EZ2590" s="46"/>
      <c r="FA2590" s="46"/>
      <c r="FB2590" s="46"/>
      <c r="FC2590" s="46"/>
      <c r="FD2590" s="46"/>
      <c r="FE2590" s="46"/>
      <c r="FF2590" s="46"/>
      <c r="FG2590" s="46"/>
      <c r="FH2590" s="46"/>
      <c r="FI2590" s="46"/>
      <c r="FJ2590" s="46"/>
      <c r="FK2590" s="46"/>
      <c r="FL2590" s="46"/>
      <c r="FM2590" s="46"/>
      <c r="FN2590" s="46"/>
      <c r="FO2590" s="46"/>
      <c r="FP2590" s="46"/>
      <c r="FQ2590" s="46"/>
      <c r="FR2590" s="46"/>
      <c r="FS2590" s="46"/>
      <c r="FT2590" s="46"/>
      <c r="FU2590" s="46"/>
      <c r="FV2590" s="46"/>
      <c r="FW2590" s="46"/>
      <c r="FX2590" s="46"/>
      <c r="FY2590" s="46"/>
      <c r="FZ2590" s="46"/>
      <c r="GA2590" s="46"/>
      <c r="GB2590" s="46"/>
      <c r="GC2590" s="46"/>
      <c r="GD2590" s="46"/>
      <c r="GE2590" s="46"/>
      <c r="GF2590" s="46"/>
      <c r="GG2590" s="46"/>
      <c r="GH2590" s="46"/>
      <c r="GI2590" s="46"/>
      <c r="GJ2590" s="46"/>
      <c r="GK2590" s="46"/>
      <c r="GL2590" s="46"/>
      <c r="GM2590" s="46"/>
      <c r="GN2590" s="46"/>
      <c r="GO2590" s="46"/>
      <c r="GP2590" s="46"/>
      <c r="GQ2590" s="46"/>
      <c r="GR2590" s="46"/>
      <c r="GS2590" s="46"/>
      <c r="GT2590" s="46"/>
      <c r="GU2590" s="46"/>
    </row>
    <row r="2591" spans="1:203" s="43" customFormat="1" ht="30" customHeight="1" x14ac:dyDescent="0.35">
      <c r="A2591" s="24">
        <f>A2590+1</f>
        <v>1103</v>
      </c>
      <c r="B2591" s="25" t="s">
        <v>131</v>
      </c>
      <c r="C2591" s="26" t="s">
        <v>132</v>
      </c>
      <c r="D2591" s="73">
        <v>16</v>
      </c>
      <c r="E2591" s="41"/>
      <c r="F2591" s="42"/>
      <c r="H2591" s="44"/>
      <c r="K2591" s="45"/>
      <c r="L2591" s="45"/>
      <c r="M2591" s="45"/>
      <c r="N2591" s="44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6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  <c r="BP2591" s="46"/>
      <c r="BQ2591" s="46"/>
      <c r="BR2591" s="46"/>
      <c r="BS2591" s="46"/>
      <c r="BT2591" s="46"/>
      <c r="BU2591" s="46"/>
      <c r="BV2591" s="46"/>
      <c r="BW2591" s="46"/>
      <c r="BX2591" s="46"/>
      <c r="BY2591" s="46"/>
      <c r="BZ2591" s="46"/>
      <c r="CA2591" s="46"/>
      <c r="CB2591" s="46"/>
      <c r="CC2591" s="46"/>
      <c r="CD2591" s="46"/>
      <c r="CE2591" s="46"/>
      <c r="CF2591" s="46"/>
      <c r="CG2591" s="46"/>
      <c r="CH2591" s="46"/>
      <c r="CI2591" s="46"/>
      <c r="CJ2591" s="46"/>
      <c r="CK2591" s="46"/>
      <c r="CL2591" s="46"/>
      <c r="CM2591" s="46"/>
      <c r="CN2591" s="46"/>
      <c r="CO2591" s="46"/>
      <c r="CP2591" s="46"/>
      <c r="CQ2591" s="46"/>
      <c r="CR2591" s="46"/>
      <c r="CS2591" s="46"/>
      <c r="CT2591" s="46"/>
      <c r="CU2591" s="46"/>
      <c r="CV2591" s="46"/>
      <c r="CW2591" s="46"/>
      <c r="CX2591" s="46"/>
      <c r="CY2591" s="46"/>
      <c r="CZ2591" s="46"/>
      <c r="DA2591" s="46"/>
      <c r="DB2591" s="46"/>
      <c r="DC2591" s="46"/>
      <c r="DD2591" s="46"/>
      <c r="DE2591" s="46"/>
      <c r="DF2591" s="46"/>
      <c r="DG2591" s="46"/>
      <c r="DH2591" s="46"/>
      <c r="DI2591" s="46"/>
      <c r="DJ2591" s="46"/>
      <c r="DK2591" s="46"/>
      <c r="DL2591" s="46"/>
      <c r="DM2591" s="46"/>
      <c r="DN2591" s="46"/>
      <c r="DO2591" s="46"/>
      <c r="DP2591" s="46"/>
      <c r="DQ2591" s="46"/>
      <c r="DR2591" s="46"/>
      <c r="DS2591" s="46"/>
      <c r="DT2591" s="46"/>
      <c r="DU2591" s="46"/>
      <c r="DV2591" s="46"/>
      <c r="DW2591" s="46"/>
      <c r="DX2591" s="46"/>
      <c r="DY2591" s="46"/>
      <c r="DZ2591" s="46"/>
      <c r="EA2591" s="46"/>
      <c r="EB2591" s="46"/>
      <c r="EC2591" s="46"/>
      <c r="ED2591" s="46"/>
      <c r="EE2591" s="46"/>
      <c r="EF2591" s="46"/>
      <c r="EG2591" s="46"/>
      <c r="EH2591" s="46"/>
      <c r="EI2591" s="46"/>
      <c r="EJ2591" s="46"/>
      <c r="EK2591" s="46"/>
      <c r="EL2591" s="46"/>
      <c r="EM2591" s="46"/>
      <c r="EN2591" s="46"/>
      <c r="EO2591" s="46"/>
      <c r="EP2591" s="46"/>
      <c r="EQ2591" s="46"/>
      <c r="ER2591" s="46"/>
      <c r="ES2591" s="46"/>
      <c r="ET2591" s="46"/>
      <c r="EU2591" s="46"/>
      <c r="EV2591" s="46"/>
      <c r="EW2591" s="46"/>
      <c r="EX2591" s="46"/>
      <c r="EY2591" s="46"/>
      <c r="EZ2591" s="46"/>
      <c r="FA2591" s="46"/>
      <c r="FB2591" s="46"/>
      <c r="FC2591" s="46"/>
      <c r="FD2591" s="46"/>
      <c r="FE2591" s="46"/>
      <c r="FF2591" s="46"/>
      <c r="FG2591" s="46"/>
      <c r="FH2591" s="46"/>
      <c r="FI2591" s="46"/>
      <c r="FJ2591" s="46"/>
      <c r="FK2591" s="46"/>
      <c r="FL2591" s="46"/>
      <c r="FM2591" s="46"/>
      <c r="FN2591" s="46"/>
      <c r="FO2591" s="46"/>
      <c r="FP2591" s="46"/>
      <c r="FQ2591" s="46"/>
      <c r="FR2591" s="46"/>
      <c r="FS2591" s="46"/>
      <c r="FT2591" s="46"/>
      <c r="FU2591" s="46"/>
      <c r="FV2591" s="46"/>
      <c r="FW2591" s="46"/>
      <c r="FX2591" s="46"/>
      <c r="FY2591" s="46"/>
      <c r="FZ2591" s="46"/>
      <c r="GA2591" s="46"/>
      <c r="GB2591" s="46"/>
      <c r="GC2591" s="46"/>
      <c r="GD2591" s="46"/>
      <c r="GE2591" s="46"/>
      <c r="GF2591" s="46"/>
      <c r="GG2591" s="46"/>
      <c r="GH2591" s="46"/>
      <c r="GI2591" s="46"/>
      <c r="GJ2591" s="46"/>
      <c r="GK2591" s="46"/>
      <c r="GL2591" s="46"/>
      <c r="GM2591" s="46"/>
      <c r="GN2591" s="46"/>
      <c r="GO2591" s="46"/>
      <c r="GP2591" s="46"/>
      <c r="GQ2591" s="46"/>
      <c r="GR2591" s="46"/>
      <c r="GS2591" s="46"/>
      <c r="GT2591" s="46"/>
      <c r="GU2591" s="46"/>
    </row>
    <row r="2592" spans="1:203" s="43" customFormat="1" ht="31" hidden="1" customHeight="1" outlineLevel="1" x14ac:dyDescent="0.35">
      <c r="A2592" s="47"/>
      <c r="B2592" s="48" t="s">
        <v>133</v>
      </c>
      <c r="C2592" s="49" t="s">
        <v>58</v>
      </c>
      <c r="D2592" s="55">
        <v>16</v>
      </c>
      <c r="E2592" s="56">
        <v>1.6</v>
      </c>
      <c r="F2592" s="42"/>
      <c r="H2592" s="44"/>
      <c r="K2592" s="45"/>
      <c r="L2592" s="45"/>
      <c r="M2592" s="45"/>
      <c r="N2592" s="44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6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  <c r="BP2592" s="46"/>
      <c r="BQ2592" s="46"/>
      <c r="BR2592" s="46"/>
      <c r="BS2592" s="46"/>
      <c r="BT2592" s="46"/>
      <c r="BU2592" s="46"/>
      <c r="BV2592" s="46"/>
      <c r="BW2592" s="46"/>
      <c r="BX2592" s="46"/>
      <c r="BY2592" s="46"/>
      <c r="BZ2592" s="46"/>
      <c r="CA2592" s="46"/>
      <c r="CB2592" s="46"/>
      <c r="CC2592" s="46"/>
      <c r="CD2592" s="46"/>
      <c r="CE2592" s="46"/>
      <c r="CF2592" s="46"/>
      <c r="CG2592" s="46"/>
      <c r="CH2592" s="46"/>
      <c r="CI2592" s="46"/>
      <c r="CJ2592" s="46"/>
      <c r="CK2592" s="46"/>
      <c r="CL2592" s="46"/>
      <c r="CM2592" s="46"/>
      <c r="CN2592" s="46"/>
      <c r="CO2592" s="46"/>
      <c r="CP2592" s="46"/>
      <c r="CQ2592" s="46"/>
      <c r="CR2592" s="46"/>
      <c r="CS2592" s="46"/>
      <c r="CT2592" s="46"/>
      <c r="CU2592" s="46"/>
      <c r="CV2592" s="46"/>
      <c r="CW2592" s="46"/>
      <c r="CX2592" s="46"/>
      <c r="CY2592" s="46"/>
      <c r="CZ2592" s="46"/>
      <c r="DA2592" s="46"/>
      <c r="DB2592" s="46"/>
      <c r="DC2592" s="46"/>
      <c r="DD2592" s="46"/>
      <c r="DE2592" s="46"/>
      <c r="DF2592" s="46"/>
      <c r="DG2592" s="46"/>
      <c r="DH2592" s="46"/>
      <c r="DI2592" s="46"/>
      <c r="DJ2592" s="46"/>
      <c r="DK2592" s="46"/>
      <c r="DL2592" s="46"/>
      <c r="DM2592" s="46"/>
      <c r="DN2592" s="46"/>
      <c r="DO2592" s="46"/>
      <c r="DP2592" s="46"/>
      <c r="DQ2592" s="46"/>
      <c r="DR2592" s="46"/>
      <c r="DS2592" s="46"/>
      <c r="DT2592" s="46"/>
      <c r="DU2592" s="46"/>
      <c r="DV2592" s="46"/>
      <c r="DW2592" s="46"/>
      <c r="DX2592" s="46"/>
      <c r="DY2592" s="46"/>
      <c r="DZ2592" s="46"/>
      <c r="EA2592" s="46"/>
      <c r="EB2592" s="46"/>
      <c r="EC2592" s="46"/>
      <c r="ED2592" s="46"/>
      <c r="EE2592" s="46"/>
      <c r="EF2592" s="46"/>
      <c r="EG2592" s="46"/>
      <c r="EH2592" s="46"/>
      <c r="EI2592" s="46"/>
      <c r="EJ2592" s="46"/>
      <c r="EK2592" s="46"/>
      <c r="EL2592" s="46"/>
      <c r="EM2592" s="46"/>
      <c r="EN2592" s="46"/>
      <c r="EO2592" s="46"/>
      <c r="EP2592" s="46"/>
      <c r="EQ2592" s="46"/>
      <c r="ER2592" s="46"/>
      <c r="ES2592" s="46"/>
      <c r="ET2592" s="46"/>
      <c r="EU2592" s="46"/>
      <c r="EV2592" s="46"/>
      <c r="EW2592" s="46"/>
      <c r="EX2592" s="46"/>
      <c r="EY2592" s="46"/>
      <c r="EZ2592" s="46"/>
      <c r="FA2592" s="46"/>
      <c r="FB2592" s="46"/>
      <c r="FC2592" s="46"/>
      <c r="FD2592" s="46"/>
      <c r="FE2592" s="46"/>
      <c r="FF2592" s="46"/>
      <c r="FG2592" s="46"/>
      <c r="FH2592" s="46"/>
      <c r="FI2592" s="46"/>
      <c r="FJ2592" s="46"/>
      <c r="FK2592" s="46"/>
      <c r="FL2592" s="46"/>
      <c r="FM2592" s="46"/>
      <c r="FN2592" s="46"/>
      <c r="FO2592" s="46"/>
      <c r="FP2592" s="46"/>
      <c r="FQ2592" s="46"/>
      <c r="FR2592" s="46"/>
      <c r="FS2592" s="46"/>
      <c r="FT2592" s="46"/>
      <c r="FU2592" s="46"/>
      <c r="FV2592" s="46"/>
      <c r="FW2592" s="46"/>
      <c r="FX2592" s="46"/>
      <c r="FY2592" s="46"/>
      <c r="FZ2592" s="46"/>
      <c r="GA2592" s="46"/>
      <c r="GB2592" s="46"/>
      <c r="GC2592" s="46"/>
      <c r="GD2592" s="46"/>
      <c r="GE2592" s="46"/>
      <c r="GF2592" s="46"/>
      <c r="GG2592" s="46"/>
      <c r="GH2592" s="46"/>
      <c r="GI2592" s="46"/>
      <c r="GJ2592" s="46"/>
      <c r="GK2592" s="46"/>
      <c r="GL2592" s="46"/>
      <c r="GM2592" s="46"/>
      <c r="GN2592" s="46"/>
      <c r="GO2592" s="46"/>
      <c r="GP2592" s="46"/>
      <c r="GQ2592" s="46"/>
      <c r="GR2592" s="46"/>
      <c r="GS2592" s="46"/>
      <c r="GT2592" s="46"/>
      <c r="GU2592" s="46"/>
    </row>
    <row r="2593" spans="1:203" s="43" customFormat="1" ht="31" hidden="1" customHeight="1" outlineLevel="1" x14ac:dyDescent="0.35">
      <c r="A2593" s="74"/>
      <c r="B2593" s="48" t="s">
        <v>134</v>
      </c>
      <c r="C2593" s="49" t="s">
        <v>19</v>
      </c>
      <c r="D2593" s="81">
        <f>1.04</f>
        <v>1.04</v>
      </c>
      <c r="E2593" s="69"/>
      <c r="F2593" s="42"/>
      <c r="H2593" s="44"/>
      <c r="K2593" s="45"/>
      <c r="L2593" s="45"/>
      <c r="M2593" s="45"/>
      <c r="N2593" s="44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6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  <c r="BP2593" s="46"/>
      <c r="BQ2593" s="46"/>
      <c r="BR2593" s="46"/>
      <c r="BS2593" s="46"/>
      <c r="BT2593" s="46"/>
      <c r="BU2593" s="46"/>
      <c r="BV2593" s="46"/>
      <c r="BW2593" s="46"/>
      <c r="BX2593" s="46"/>
      <c r="BY2593" s="46"/>
      <c r="BZ2593" s="46"/>
      <c r="CA2593" s="46"/>
      <c r="CB2593" s="46"/>
      <c r="CC2593" s="46"/>
      <c r="CD2593" s="46"/>
      <c r="CE2593" s="46"/>
      <c r="CF2593" s="46"/>
      <c r="CG2593" s="46"/>
      <c r="CH2593" s="46"/>
      <c r="CI2593" s="46"/>
      <c r="CJ2593" s="46"/>
      <c r="CK2593" s="46"/>
      <c r="CL2593" s="46"/>
      <c r="CM2593" s="46"/>
      <c r="CN2593" s="46"/>
      <c r="CO2593" s="46"/>
      <c r="CP2593" s="46"/>
      <c r="CQ2593" s="46"/>
      <c r="CR2593" s="46"/>
      <c r="CS2593" s="46"/>
      <c r="CT2593" s="46"/>
      <c r="CU2593" s="46"/>
      <c r="CV2593" s="46"/>
      <c r="CW2593" s="46"/>
      <c r="CX2593" s="46"/>
      <c r="CY2593" s="46"/>
      <c r="CZ2593" s="46"/>
      <c r="DA2593" s="46"/>
      <c r="DB2593" s="46"/>
      <c r="DC2593" s="46"/>
      <c r="DD2593" s="46"/>
      <c r="DE2593" s="46"/>
      <c r="DF2593" s="46"/>
      <c r="DG2593" s="46"/>
      <c r="DH2593" s="46"/>
      <c r="DI2593" s="46"/>
      <c r="DJ2593" s="46"/>
      <c r="DK2593" s="46"/>
      <c r="DL2593" s="46"/>
      <c r="DM2593" s="46"/>
      <c r="DN2593" s="46"/>
      <c r="DO2593" s="46"/>
      <c r="DP2593" s="46"/>
      <c r="DQ2593" s="46"/>
      <c r="DR2593" s="46"/>
      <c r="DS2593" s="46"/>
      <c r="DT2593" s="46"/>
      <c r="DU2593" s="46"/>
      <c r="DV2593" s="46"/>
      <c r="DW2593" s="46"/>
      <c r="DX2593" s="46"/>
      <c r="DY2593" s="46"/>
      <c r="DZ2593" s="46"/>
      <c r="EA2593" s="46"/>
      <c r="EB2593" s="46"/>
      <c r="EC2593" s="46"/>
      <c r="ED2593" s="46"/>
      <c r="EE2593" s="46"/>
      <c r="EF2593" s="46"/>
      <c r="EG2593" s="46"/>
      <c r="EH2593" s="46"/>
      <c r="EI2593" s="46"/>
      <c r="EJ2593" s="46"/>
      <c r="EK2593" s="46"/>
      <c r="EL2593" s="46"/>
      <c r="EM2593" s="46"/>
      <c r="EN2593" s="46"/>
      <c r="EO2593" s="46"/>
      <c r="EP2593" s="46"/>
      <c r="EQ2593" s="46"/>
      <c r="ER2593" s="46"/>
      <c r="ES2593" s="46"/>
      <c r="ET2593" s="46"/>
      <c r="EU2593" s="46"/>
      <c r="EV2593" s="46"/>
      <c r="EW2593" s="46"/>
      <c r="EX2593" s="46"/>
      <c r="EY2593" s="46"/>
      <c r="EZ2593" s="46"/>
      <c r="FA2593" s="46"/>
      <c r="FB2593" s="46"/>
      <c r="FC2593" s="46"/>
      <c r="FD2593" s="46"/>
      <c r="FE2593" s="46"/>
      <c r="FF2593" s="46"/>
      <c r="FG2593" s="46"/>
      <c r="FH2593" s="46"/>
      <c r="FI2593" s="46"/>
      <c r="FJ2593" s="46"/>
      <c r="FK2593" s="46"/>
      <c r="FL2593" s="46"/>
      <c r="FM2593" s="46"/>
      <c r="FN2593" s="46"/>
      <c r="FO2593" s="46"/>
      <c r="FP2593" s="46"/>
      <c r="FQ2593" s="46"/>
      <c r="FR2593" s="46"/>
      <c r="FS2593" s="46"/>
      <c r="FT2593" s="46"/>
      <c r="FU2593" s="46"/>
      <c r="FV2593" s="46"/>
      <c r="FW2593" s="46"/>
      <c r="FX2593" s="46"/>
      <c r="FY2593" s="46"/>
      <c r="FZ2593" s="46"/>
      <c r="GA2593" s="46"/>
      <c r="GB2593" s="46"/>
      <c r="GC2593" s="46"/>
      <c r="GD2593" s="46"/>
      <c r="GE2593" s="46"/>
      <c r="GF2593" s="46"/>
      <c r="GG2593" s="46"/>
      <c r="GH2593" s="46"/>
      <c r="GI2593" s="46"/>
      <c r="GJ2593" s="46"/>
      <c r="GK2593" s="46"/>
      <c r="GL2593" s="46"/>
      <c r="GM2593" s="46"/>
      <c r="GN2593" s="46"/>
      <c r="GO2593" s="46"/>
      <c r="GP2593" s="46"/>
      <c r="GQ2593" s="46"/>
      <c r="GR2593" s="46"/>
      <c r="GS2593" s="46"/>
      <c r="GT2593" s="46"/>
      <c r="GU2593" s="46"/>
    </row>
    <row r="2594" spans="1:203" ht="30" customHeight="1" collapsed="1" x14ac:dyDescent="0.35">
      <c r="A2594" s="24">
        <f>A2591+1</f>
        <v>1104</v>
      </c>
      <c r="B2594" s="25" t="s">
        <v>135</v>
      </c>
      <c r="C2594" s="26" t="s">
        <v>19</v>
      </c>
      <c r="D2594" s="110">
        <v>3.56</v>
      </c>
      <c r="E2594" s="41"/>
      <c r="F2594" s="42"/>
    </row>
    <row r="2595" spans="1:203" ht="31" hidden="1" customHeight="1" outlineLevel="1" x14ac:dyDescent="0.35">
      <c r="A2595" s="47"/>
      <c r="B2595" s="48" t="s">
        <v>52</v>
      </c>
      <c r="C2595" s="49" t="s">
        <v>19</v>
      </c>
      <c r="D2595" s="68">
        <f>3.56</f>
        <v>3.56</v>
      </c>
      <c r="E2595" s="51"/>
      <c r="F2595" s="42"/>
    </row>
    <row r="2596" spans="1:203" s="39" customFormat="1" ht="21" customHeight="1" collapsed="1" x14ac:dyDescent="0.35">
      <c r="A2596" s="158" t="s">
        <v>884</v>
      </c>
      <c r="B2596" s="158"/>
      <c r="C2596" s="158"/>
      <c r="D2596" s="158"/>
      <c r="E2596" s="158"/>
      <c r="F2596" s="34"/>
      <c r="G2596" s="35"/>
      <c r="H2596" s="36"/>
      <c r="I2596" s="37"/>
      <c r="J2596" s="37"/>
      <c r="K2596" s="38"/>
      <c r="L2596" s="38"/>
      <c r="M2596" s="38"/>
      <c r="N2596" s="36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</row>
    <row r="2597" spans="1:203" s="58" customFormat="1" ht="30" customHeight="1" x14ac:dyDescent="0.4">
      <c r="A2597" s="24">
        <f>A2594+1</f>
        <v>1105</v>
      </c>
      <c r="B2597" s="59" t="s">
        <v>403</v>
      </c>
      <c r="C2597" s="70" t="s">
        <v>132</v>
      </c>
      <c r="D2597" s="40">
        <v>33</v>
      </c>
      <c r="E2597" s="66"/>
      <c r="F2597" s="57"/>
    </row>
    <row r="2598" spans="1:203" s="58" customFormat="1" ht="30" hidden="1" customHeight="1" outlineLevel="1" x14ac:dyDescent="0.4">
      <c r="A2598" s="54"/>
      <c r="B2598" s="48" t="s">
        <v>404</v>
      </c>
      <c r="C2598" s="49" t="s">
        <v>14</v>
      </c>
      <c r="D2598" s="65">
        <f>33*1.26/1000</f>
        <v>4.1579999999999999E-2</v>
      </c>
      <c r="E2598" s="51">
        <v>4.2000000000000003E-2</v>
      </c>
      <c r="F2598" s="57"/>
    </row>
    <row r="2599" spans="1:203" ht="36" customHeight="1" collapsed="1" x14ac:dyDescent="0.35">
      <c r="A2599" s="24">
        <f>A2597+1</f>
        <v>1106</v>
      </c>
      <c r="B2599" s="59" t="s">
        <v>405</v>
      </c>
      <c r="C2599" s="26" t="s">
        <v>58</v>
      </c>
      <c r="D2599" s="82">
        <v>4</v>
      </c>
      <c r="E2599" s="41"/>
      <c r="F2599" s="42"/>
    </row>
    <row r="2600" spans="1:203" s="58" customFormat="1" ht="30" hidden="1" customHeight="1" outlineLevel="1" x14ac:dyDescent="0.4">
      <c r="A2600" s="54"/>
      <c r="B2600" s="48" t="s">
        <v>406</v>
      </c>
      <c r="C2600" s="49" t="s">
        <v>14</v>
      </c>
      <c r="D2600" s="65">
        <f>20*1.58/1000</f>
        <v>3.1600000000000003E-2</v>
      </c>
      <c r="E2600" s="51">
        <v>3.2000000000000001E-2</v>
      </c>
      <c r="F2600" s="57"/>
    </row>
    <row r="2601" spans="1:203" s="58" customFormat="1" ht="30" customHeight="1" collapsed="1" x14ac:dyDescent="0.4">
      <c r="A2601" s="24">
        <f>A2599+1</f>
        <v>1107</v>
      </c>
      <c r="B2601" s="71" t="s">
        <v>315</v>
      </c>
      <c r="C2601" s="40" t="s">
        <v>132</v>
      </c>
      <c r="D2601" s="40">
        <v>16</v>
      </c>
      <c r="E2601" s="66"/>
      <c r="F2601" s="57"/>
    </row>
    <row r="2602" spans="1:203" s="58" customFormat="1" ht="30" hidden="1" customHeight="1" outlineLevel="1" x14ac:dyDescent="0.4">
      <c r="A2602" s="87"/>
      <c r="B2602" s="48" t="s">
        <v>314</v>
      </c>
      <c r="C2602" s="75" t="s">
        <v>14</v>
      </c>
      <c r="D2602" s="65">
        <f>16*1.26/1000</f>
        <v>2.0160000000000001E-2</v>
      </c>
      <c r="E2602" s="88">
        <v>0.02</v>
      </c>
      <c r="F2602" s="57"/>
    </row>
    <row r="2603" spans="1:203" ht="36" customHeight="1" collapsed="1" x14ac:dyDescent="0.35">
      <c r="A2603" s="24">
        <f>A2601+1</f>
        <v>1108</v>
      </c>
      <c r="B2603" s="59" t="s">
        <v>316</v>
      </c>
      <c r="C2603" s="26" t="s">
        <v>132</v>
      </c>
      <c r="D2603" s="82">
        <v>10</v>
      </c>
      <c r="E2603" s="41"/>
      <c r="F2603" s="42"/>
    </row>
    <row r="2604" spans="1:203" s="58" customFormat="1" ht="30" hidden="1" customHeight="1" outlineLevel="1" x14ac:dyDescent="0.4">
      <c r="A2604" s="54"/>
      <c r="B2604" s="48" t="s">
        <v>407</v>
      </c>
      <c r="C2604" s="49" t="s">
        <v>132</v>
      </c>
      <c r="D2604" s="55">
        <v>10</v>
      </c>
      <c r="E2604" s="51"/>
      <c r="F2604" s="57"/>
    </row>
    <row r="2605" spans="1:203" s="58" customFormat="1" ht="30" hidden="1" customHeight="1" outlineLevel="1" x14ac:dyDescent="0.4">
      <c r="A2605" s="54"/>
      <c r="B2605" s="48" t="s">
        <v>408</v>
      </c>
      <c r="C2605" s="49" t="s">
        <v>58</v>
      </c>
      <c r="D2605" s="55">
        <v>20</v>
      </c>
      <c r="E2605" s="51"/>
      <c r="F2605" s="57"/>
    </row>
    <row r="2606" spans="1:203" s="58" customFormat="1" ht="30" hidden="1" customHeight="1" outlineLevel="1" x14ac:dyDescent="0.4">
      <c r="A2606" s="54"/>
      <c r="B2606" s="48" t="s">
        <v>318</v>
      </c>
      <c r="C2606" s="49" t="s">
        <v>58</v>
      </c>
      <c r="D2606" s="74">
        <v>2</v>
      </c>
      <c r="E2606" s="69"/>
      <c r="F2606" s="57"/>
    </row>
    <row r="2607" spans="1:203" s="58" customFormat="1" ht="30" hidden="1" customHeight="1" outlineLevel="1" x14ac:dyDescent="0.4">
      <c r="A2607" s="54"/>
      <c r="B2607" s="48" t="s">
        <v>409</v>
      </c>
      <c r="C2607" s="49" t="s">
        <v>58</v>
      </c>
      <c r="D2607" s="55">
        <v>40</v>
      </c>
      <c r="E2607" s="51"/>
      <c r="F2607" s="57"/>
    </row>
    <row r="2608" spans="1:203" s="58" customFormat="1" ht="30" hidden="1" customHeight="1" outlineLevel="1" x14ac:dyDescent="0.4">
      <c r="A2608" s="54"/>
      <c r="B2608" s="48" t="s">
        <v>410</v>
      </c>
      <c r="C2608" s="49" t="s">
        <v>58</v>
      </c>
      <c r="D2608" s="55">
        <v>40</v>
      </c>
      <c r="E2608" s="51"/>
      <c r="F2608" s="57"/>
    </row>
    <row r="2609" spans="1:28" s="58" customFormat="1" ht="30" hidden="1" customHeight="1" outlineLevel="1" x14ac:dyDescent="0.4">
      <c r="A2609" s="54"/>
      <c r="B2609" s="48" t="s">
        <v>411</v>
      </c>
      <c r="C2609" s="49" t="s">
        <v>58</v>
      </c>
      <c r="D2609" s="55">
        <v>80</v>
      </c>
      <c r="E2609" s="51"/>
      <c r="F2609" s="57"/>
    </row>
    <row r="2610" spans="1:28" ht="31" customHeight="1" collapsed="1" x14ac:dyDescent="0.35">
      <c r="A2610" s="24">
        <f>A2603+1</f>
        <v>1109</v>
      </c>
      <c r="B2610" s="25" t="s">
        <v>580</v>
      </c>
      <c r="C2610" s="89" t="s">
        <v>58</v>
      </c>
      <c r="D2610" s="26">
        <v>1</v>
      </c>
      <c r="E2610" s="41"/>
      <c r="F2610" s="42"/>
    </row>
    <row r="2611" spans="1:28" ht="15.45" hidden="1" outlineLevel="1" x14ac:dyDescent="0.35">
      <c r="A2611" s="47"/>
      <c r="B2611" s="48" t="s">
        <v>885</v>
      </c>
      <c r="C2611" s="49" t="s">
        <v>58</v>
      </c>
      <c r="D2611" s="49">
        <v>1</v>
      </c>
      <c r="E2611" s="78">
        <v>6.5000000000000002E-2</v>
      </c>
      <c r="F2611" s="42"/>
    </row>
    <row r="2612" spans="1:28" s="58" customFormat="1" ht="30" customHeight="1" collapsed="1" x14ac:dyDescent="0.4">
      <c r="A2612" s="24">
        <f>A2610+1</f>
        <v>1110</v>
      </c>
      <c r="B2612" s="25" t="s">
        <v>886</v>
      </c>
      <c r="C2612" s="89" t="s">
        <v>132</v>
      </c>
      <c r="D2612" s="90">
        <v>8</v>
      </c>
      <c r="E2612" s="99"/>
      <c r="F2612" s="57"/>
    </row>
    <row r="2613" spans="1:28" s="58" customFormat="1" ht="30" hidden="1" customHeight="1" outlineLevel="1" x14ac:dyDescent="0.4">
      <c r="A2613" s="87"/>
      <c r="B2613" s="48" t="s">
        <v>887</v>
      </c>
      <c r="C2613" s="75" t="s">
        <v>14</v>
      </c>
      <c r="D2613" s="77">
        <f>8*12.15/1000*1.1</f>
        <v>0.10692000000000002</v>
      </c>
      <c r="E2613" s="88">
        <v>0.107</v>
      </c>
      <c r="F2613" s="57"/>
    </row>
    <row r="2614" spans="1:28" s="58" customFormat="1" ht="30" customHeight="1" collapsed="1" x14ac:dyDescent="0.4">
      <c r="A2614" s="24">
        <f>A2612+1</f>
        <v>1111</v>
      </c>
      <c r="B2614" s="25" t="s">
        <v>281</v>
      </c>
      <c r="C2614" s="89" t="s">
        <v>132</v>
      </c>
      <c r="D2614" s="90">
        <v>2</v>
      </c>
      <c r="E2614" s="91"/>
      <c r="F2614" s="57"/>
    </row>
    <row r="2615" spans="1:28" s="58" customFormat="1" ht="30" hidden="1" customHeight="1" outlineLevel="1" x14ac:dyDescent="0.4">
      <c r="A2615" s="87"/>
      <c r="B2615" s="48" t="s">
        <v>282</v>
      </c>
      <c r="C2615" s="75" t="s">
        <v>132</v>
      </c>
      <c r="D2615" s="74">
        <v>2</v>
      </c>
      <c r="E2615" s="88"/>
      <c r="F2615" s="57"/>
    </row>
    <row r="2616" spans="1:28" ht="34.5" hidden="1" customHeight="1" outlineLevel="1" x14ac:dyDescent="0.35">
      <c r="A2616" s="47"/>
      <c r="B2616" s="48" t="s">
        <v>888</v>
      </c>
      <c r="C2616" s="75" t="s">
        <v>132</v>
      </c>
      <c r="D2616" s="74">
        <v>4</v>
      </c>
      <c r="E2616" s="78"/>
      <c r="F2616" s="42"/>
    </row>
    <row r="2617" spans="1:28" s="58" customFormat="1" ht="30" customHeight="1" collapsed="1" x14ac:dyDescent="0.4">
      <c r="A2617" s="24">
        <f>A2614+1</f>
        <v>1112</v>
      </c>
      <c r="B2617" s="25" t="s">
        <v>889</v>
      </c>
      <c r="C2617" s="89" t="s">
        <v>132</v>
      </c>
      <c r="D2617" s="90">
        <v>10</v>
      </c>
      <c r="E2617" s="91"/>
      <c r="F2617" s="57"/>
    </row>
    <row r="2618" spans="1:28" s="58" customFormat="1" ht="46.3" hidden="1" outlineLevel="1" x14ac:dyDescent="0.4">
      <c r="A2618" s="87"/>
      <c r="B2618" s="48" t="s">
        <v>890</v>
      </c>
      <c r="C2618" s="75" t="s">
        <v>132</v>
      </c>
      <c r="D2618" s="74">
        <v>10</v>
      </c>
      <c r="E2618" s="88">
        <v>3.4000000000000002E-2</v>
      </c>
      <c r="F2618" s="57"/>
    </row>
    <row r="2619" spans="1:28" s="39" customFormat="1" ht="30" customHeight="1" collapsed="1" x14ac:dyDescent="0.35">
      <c r="A2619" s="153" t="s">
        <v>891</v>
      </c>
      <c r="B2619" s="153"/>
      <c r="C2619" s="153"/>
      <c r="D2619" s="153"/>
      <c r="E2619" s="153"/>
      <c r="F2619" s="34"/>
      <c r="G2619" s="35"/>
      <c r="H2619" s="36"/>
      <c r="I2619" s="37"/>
      <c r="J2619" s="37"/>
      <c r="K2619" s="38"/>
      <c r="L2619" s="38"/>
      <c r="M2619" s="38"/>
      <c r="N2619" s="36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</row>
    <row r="2620" spans="1:28" s="39" customFormat="1" ht="21" customHeight="1" x14ac:dyDescent="0.35">
      <c r="A2620" s="158" t="s">
        <v>892</v>
      </c>
      <c r="B2620" s="158"/>
      <c r="C2620" s="158"/>
      <c r="D2620" s="158"/>
      <c r="E2620" s="158"/>
      <c r="F2620" s="34"/>
      <c r="G2620" s="35"/>
      <c r="H2620" s="36"/>
      <c r="I2620" s="37"/>
      <c r="J2620" s="37"/>
      <c r="K2620" s="38"/>
      <c r="L2620" s="38"/>
      <c r="M2620" s="38"/>
      <c r="N2620" s="36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</row>
    <row r="2621" spans="1:28" s="39" customFormat="1" ht="21" customHeight="1" x14ac:dyDescent="0.35">
      <c r="A2621" s="154" t="s">
        <v>893</v>
      </c>
      <c r="B2621" s="154"/>
      <c r="C2621" s="154"/>
      <c r="D2621" s="154"/>
      <c r="E2621" s="154"/>
      <c r="F2621" s="34"/>
      <c r="G2621" s="35"/>
      <c r="H2621" s="36"/>
      <c r="I2621" s="37"/>
      <c r="J2621" s="37"/>
      <c r="K2621" s="38"/>
      <c r="L2621" s="38"/>
      <c r="M2621" s="38"/>
      <c r="N2621" s="36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</row>
    <row r="2622" spans="1:28" ht="30" customHeight="1" x14ac:dyDescent="0.35">
      <c r="A2622" s="24">
        <f>A2617+1</f>
        <v>1113</v>
      </c>
      <c r="B2622" s="59" t="s">
        <v>600</v>
      </c>
      <c r="C2622" s="60" t="s">
        <v>19</v>
      </c>
      <c r="D2622" s="67">
        <f>4*4*4.5</f>
        <v>72</v>
      </c>
      <c r="E2622" s="66"/>
      <c r="F2622" s="42"/>
    </row>
    <row r="2623" spans="1:28" s="58" customFormat="1" ht="30" customHeight="1" x14ac:dyDescent="0.4">
      <c r="A2623" s="24">
        <f>A2622+1</f>
        <v>1114</v>
      </c>
      <c r="B2623" s="59" t="s">
        <v>894</v>
      </c>
      <c r="C2623" s="70" t="s">
        <v>19</v>
      </c>
      <c r="D2623" s="67">
        <v>0.1</v>
      </c>
      <c r="E2623" s="66"/>
      <c r="F2623" s="57"/>
    </row>
    <row r="2624" spans="1:28" s="58" customFormat="1" ht="30" hidden="1" customHeight="1" outlineLevel="1" x14ac:dyDescent="0.4">
      <c r="A2624" s="54"/>
      <c r="B2624" s="48" t="s">
        <v>740</v>
      </c>
      <c r="C2624" s="49" t="s">
        <v>19</v>
      </c>
      <c r="D2624" s="50">
        <f>0.1*1.1</f>
        <v>0.11000000000000001</v>
      </c>
      <c r="E2624" s="69"/>
      <c r="F2624" s="57"/>
    </row>
    <row r="2625" spans="1:28" s="58" customFormat="1" ht="30" customHeight="1" collapsed="1" x14ac:dyDescent="0.4">
      <c r="A2625" s="24">
        <f>A2623+1</f>
        <v>1115</v>
      </c>
      <c r="B2625" s="119" t="s">
        <v>895</v>
      </c>
      <c r="C2625" s="120" t="s">
        <v>58</v>
      </c>
      <c r="D2625" s="121">
        <v>1</v>
      </c>
      <c r="E2625" s="66"/>
      <c r="F2625" s="57"/>
    </row>
    <row r="2626" spans="1:28" ht="30" hidden="1" customHeight="1" outlineLevel="1" x14ac:dyDescent="0.35">
      <c r="A2626" s="47"/>
      <c r="B2626" s="48" t="s">
        <v>896</v>
      </c>
      <c r="C2626" s="49" t="s">
        <v>58</v>
      </c>
      <c r="D2626" s="55">
        <v>1</v>
      </c>
      <c r="E2626" s="78">
        <v>0.04</v>
      </c>
      <c r="F2626" s="42"/>
    </row>
    <row r="2627" spans="1:28" ht="30" hidden="1" customHeight="1" outlineLevel="1" x14ac:dyDescent="0.35">
      <c r="A2627" s="47"/>
      <c r="B2627" s="48" t="s">
        <v>897</v>
      </c>
      <c r="C2627" s="49" t="s">
        <v>58</v>
      </c>
      <c r="D2627" s="55">
        <v>22</v>
      </c>
      <c r="E2627" s="78">
        <v>0.79200000000000004</v>
      </c>
      <c r="F2627" s="42"/>
    </row>
    <row r="2628" spans="1:28" ht="30" hidden="1" customHeight="1" outlineLevel="1" x14ac:dyDescent="0.35">
      <c r="A2628" s="47"/>
      <c r="B2628" s="48" t="s">
        <v>898</v>
      </c>
      <c r="C2628" s="49" t="s">
        <v>58</v>
      </c>
      <c r="D2628" s="55">
        <v>1</v>
      </c>
      <c r="E2628" s="78">
        <v>4.2000000000000003E-2</v>
      </c>
      <c r="F2628" s="42"/>
    </row>
    <row r="2629" spans="1:28" ht="30" hidden="1" customHeight="1" outlineLevel="1" x14ac:dyDescent="0.35">
      <c r="A2629" s="47"/>
      <c r="B2629" s="48" t="s">
        <v>899</v>
      </c>
      <c r="C2629" s="49" t="s">
        <v>58</v>
      </c>
      <c r="D2629" s="55">
        <v>1</v>
      </c>
      <c r="E2629" s="78">
        <v>1E-3</v>
      </c>
      <c r="F2629" s="42"/>
    </row>
    <row r="2630" spans="1:28" ht="30" hidden="1" customHeight="1" outlineLevel="1" x14ac:dyDescent="0.35">
      <c r="A2630" s="47"/>
      <c r="B2630" s="48" t="s">
        <v>900</v>
      </c>
      <c r="C2630" s="49" t="s">
        <v>58</v>
      </c>
      <c r="D2630" s="55">
        <v>4</v>
      </c>
      <c r="E2630" s="78">
        <v>1E-3</v>
      </c>
      <c r="F2630" s="42"/>
    </row>
    <row r="2631" spans="1:28" ht="30" hidden="1" customHeight="1" outlineLevel="1" x14ac:dyDescent="0.35">
      <c r="A2631" s="47"/>
      <c r="B2631" s="48" t="s">
        <v>901</v>
      </c>
      <c r="C2631" s="49" t="s">
        <v>58</v>
      </c>
      <c r="D2631" s="55">
        <v>1</v>
      </c>
      <c r="E2631" s="78"/>
      <c r="F2631" s="42"/>
    </row>
    <row r="2632" spans="1:28" ht="30" hidden="1" customHeight="1" outlineLevel="1" x14ac:dyDescent="0.35">
      <c r="A2632" s="47"/>
      <c r="B2632" s="48" t="s">
        <v>902</v>
      </c>
      <c r="C2632" s="49" t="s">
        <v>58</v>
      </c>
      <c r="D2632" s="55">
        <v>15</v>
      </c>
      <c r="E2632" s="78"/>
      <c r="F2632" s="42"/>
    </row>
    <row r="2633" spans="1:28" ht="30" hidden="1" customHeight="1" outlineLevel="1" x14ac:dyDescent="0.35">
      <c r="A2633" s="47"/>
      <c r="B2633" s="48" t="s">
        <v>903</v>
      </c>
      <c r="C2633" s="49" t="s">
        <v>58</v>
      </c>
      <c r="D2633" s="55">
        <v>16</v>
      </c>
      <c r="E2633" s="78"/>
      <c r="F2633" s="42"/>
    </row>
    <row r="2634" spans="1:28" ht="30" customHeight="1" collapsed="1" x14ac:dyDescent="0.35">
      <c r="A2634" s="24">
        <f>A2625+1</f>
        <v>1116</v>
      </c>
      <c r="B2634" s="59" t="s">
        <v>904</v>
      </c>
      <c r="C2634" s="60" t="s">
        <v>58</v>
      </c>
      <c r="D2634" s="121">
        <v>1</v>
      </c>
      <c r="E2634" s="66"/>
      <c r="F2634" s="42"/>
    </row>
    <row r="2635" spans="1:28" ht="30" hidden="1" customHeight="1" outlineLevel="1" x14ac:dyDescent="0.35">
      <c r="A2635" s="47"/>
      <c r="B2635" s="48" t="s">
        <v>905</v>
      </c>
      <c r="C2635" s="49" t="s">
        <v>58</v>
      </c>
      <c r="D2635" s="55">
        <v>1</v>
      </c>
      <c r="E2635" s="78">
        <v>4.4999999999999998E-2</v>
      </c>
      <c r="F2635" s="42"/>
    </row>
    <row r="2636" spans="1:28" ht="30" customHeight="1" collapsed="1" x14ac:dyDescent="0.35">
      <c r="A2636" s="24">
        <f>A2634+1</f>
        <v>1117</v>
      </c>
      <c r="B2636" s="59" t="s">
        <v>757</v>
      </c>
      <c r="C2636" s="60" t="s">
        <v>19</v>
      </c>
      <c r="D2636" s="67">
        <f>(4*4*4.5)-(3.14*1/4*4.5)</f>
        <v>68.467500000000001</v>
      </c>
      <c r="E2636" s="66"/>
      <c r="F2636" s="42"/>
    </row>
    <row r="2637" spans="1:28" s="39" customFormat="1" ht="21" customHeight="1" x14ac:dyDescent="0.35">
      <c r="A2637" s="154" t="s">
        <v>906</v>
      </c>
      <c r="B2637" s="154"/>
      <c r="C2637" s="154"/>
      <c r="D2637" s="154"/>
      <c r="E2637" s="154"/>
      <c r="F2637" s="34"/>
      <c r="G2637" s="35"/>
      <c r="H2637" s="36"/>
      <c r="I2637" s="37"/>
      <c r="J2637" s="37"/>
      <c r="K2637" s="38"/>
      <c r="L2637" s="38"/>
      <c r="M2637" s="38"/>
      <c r="N2637" s="36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</row>
    <row r="2638" spans="1:28" ht="30" customHeight="1" x14ac:dyDescent="0.35">
      <c r="A2638" s="24">
        <f>A2636+1</f>
        <v>1118</v>
      </c>
      <c r="B2638" s="59" t="s">
        <v>600</v>
      </c>
      <c r="C2638" s="60" t="s">
        <v>19</v>
      </c>
      <c r="D2638" s="67">
        <f>2*2*1.5</f>
        <v>6</v>
      </c>
      <c r="E2638" s="66"/>
      <c r="F2638" s="42"/>
    </row>
    <row r="2639" spans="1:28" s="58" customFormat="1" ht="30" customHeight="1" x14ac:dyDescent="0.4">
      <c r="A2639" s="24">
        <f>A2638+1</f>
        <v>1119</v>
      </c>
      <c r="B2639" s="59" t="s">
        <v>894</v>
      </c>
      <c r="C2639" s="70" t="s">
        <v>19</v>
      </c>
      <c r="D2639" s="67">
        <v>0.1</v>
      </c>
      <c r="E2639" s="66"/>
      <c r="F2639" s="57"/>
    </row>
    <row r="2640" spans="1:28" s="58" customFormat="1" ht="30" hidden="1" customHeight="1" outlineLevel="1" x14ac:dyDescent="0.4">
      <c r="A2640" s="54"/>
      <c r="B2640" s="48" t="s">
        <v>740</v>
      </c>
      <c r="C2640" s="49" t="s">
        <v>19</v>
      </c>
      <c r="D2640" s="50">
        <f>0.1*1.1</f>
        <v>0.11000000000000001</v>
      </c>
      <c r="E2640" s="69"/>
      <c r="F2640" s="57"/>
    </row>
    <row r="2641" spans="1:28" s="58" customFormat="1" ht="30" customHeight="1" collapsed="1" x14ac:dyDescent="0.4">
      <c r="A2641" s="24">
        <f>A2639+1</f>
        <v>1120</v>
      </c>
      <c r="B2641" s="59" t="s">
        <v>668</v>
      </c>
      <c r="C2641" s="70" t="s">
        <v>19</v>
      </c>
      <c r="D2641" s="67">
        <v>0.1</v>
      </c>
      <c r="E2641" s="66"/>
      <c r="F2641" s="57"/>
    </row>
    <row r="2642" spans="1:28" s="58" customFormat="1" ht="30" customHeight="1" x14ac:dyDescent="0.4">
      <c r="A2642" s="24">
        <f>A2641+1</f>
        <v>1121</v>
      </c>
      <c r="B2642" s="59" t="s">
        <v>136</v>
      </c>
      <c r="C2642" s="70" t="s">
        <v>19</v>
      </c>
      <c r="D2642" s="67">
        <v>0.1</v>
      </c>
      <c r="E2642" s="66"/>
      <c r="F2642" s="57"/>
    </row>
    <row r="2643" spans="1:28" s="58" customFormat="1" ht="30" customHeight="1" x14ac:dyDescent="0.4">
      <c r="A2643" s="24">
        <f>A2642+1</f>
        <v>1122</v>
      </c>
      <c r="B2643" s="119" t="s">
        <v>907</v>
      </c>
      <c r="C2643" s="120" t="s">
        <v>58</v>
      </c>
      <c r="D2643" s="121">
        <v>1</v>
      </c>
      <c r="E2643" s="66"/>
      <c r="F2643" s="57"/>
    </row>
    <row r="2644" spans="1:28" ht="30" hidden="1" customHeight="1" outlineLevel="1" x14ac:dyDescent="0.35">
      <c r="A2644" s="47"/>
      <c r="B2644" s="48" t="s">
        <v>896</v>
      </c>
      <c r="C2644" s="49" t="s">
        <v>58</v>
      </c>
      <c r="D2644" s="55">
        <v>1</v>
      </c>
      <c r="E2644" s="78">
        <v>0.04</v>
      </c>
      <c r="F2644" s="42"/>
    </row>
    <row r="2645" spans="1:28" ht="30" hidden="1" customHeight="1" outlineLevel="1" x14ac:dyDescent="0.35">
      <c r="A2645" s="47"/>
      <c r="B2645" s="48" t="s">
        <v>897</v>
      </c>
      <c r="C2645" s="49" t="s">
        <v>58</v>
      </c>
      <c r="D2645" s="55">
        <v>7</v>
      </c>
      <c r="E2645" s="78">
        <v>0.252</v>
      </c>
      <c r="F2645" s="42"/>
    </row>
    <row r="2646" spans="1:28" ht="30" hidden="1" customHeight="1" outlineLevel="1" x14ac:dyDescent="0.35">
      <c r="A2646" s="47"/>
      <c r="B2646" s="48" t="s">
        <v>898</v>
      </c>
      <c r="C2646" s="49" t="s">
        <v>58</v>
      </c>
      <c r="D2646" s="55">
        <v>1</v>
      </c>
      <c r="E2646" s="78">
        <v>4.2000000000000003E-2</v>
      </c>
      <c r="F2646" s="42"/>
    </row>
    <row r="2647" spans="1:28" ht="30" customHeight="1" collapsed="1" x14ac:dyDescent="0.35">
      <c r="A2647" s="24">
        <f>A2643+1</f>
        <v>1123</v>
      </c>
      <c r="B2647" s="59" t="s">
        <v>904</v>
      </c>
      <c r="C2647" s="60" t="s">
        <v>58</v>
      </c>
      <c r="D2647" s="121">
        <v>1</v>
      </c>
      <c r="E2647" s="66"/>
      <c r="F2647" s="42"/>
    </row>
    <row r="2648" spans="1:28" ht="30" hidden="1" customHeight="1" outlineLevel="1" x14ac:dyDescent="0.35">
      <c r="A2648" s="47"/>
      <c r="B2648" s="48" t="s">
        <v>905</v>
      </c>
      <c r="C2648" s="49" t="s">
        <v>58</v>
      </c>
      <c r="D2648" s="55">
        <v>1</v>
      </c>
      <c r="E2648" s="78">
        <v>4.4999999999999998E-2</v>
      </c>
      <c r="F2648" s="42"/>
    </row>
    <row r="2649" spans="1:28" ht="30" customHeight="1" collapsed="1" x14ac:dyDescent="0.35">
      <c r="A2649" s="24">
        <f>A2647+1</f>
        <v>1124</v>
      </c>
      <c r="B2649" s="59" t="s">
        <v>757</v>
      </c>
      <c r="C2649" s="60" t="s">
        <v>19</v>
      </c>
      <c r="D2649" s="67">
        <f>(2*2*1.5)-(3.14*1/4*1.5)</f>
        <v>4.8224999999999998</v>
      </c>
      <c r="E2649" s="66"/>
      <c r="F2649" s="42"/>
    </row>
    <row r="2650" spans="1:28" s="39" customFormat="1" ht="21" customHeight="1" x14ac:dyDescent="0.35">
      <c r="A2650" s="154" t="s">
        <v>908</v>
      </c>
      <c r="B2650" s="154"/>
      <c r="C2650" s="154"/>
      <c r="D2650" s="154"/>
      <c r="E2650" s="154"/>
      <c r="F2650" s="34"/>
      <c r="G2650" s="35"/>
      <c r="H2650" s="36"/>
      <c r="I2650" s="37"/>
      <c r="J2650" s="37"/>
      <c r="K2650" s="38"/>
      <c r="L2650" s="38"/>
      <c r="M2650" s="38"/>
      <c r="N2650" s="36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</row>
    <row r="2651" spans="1:28" ht="31" customHeight="1" x14ac:dyDescent="0.35">
      <c r="A2651" s="24">
        <f>A2649+1</f>
        <v>1125</v>
      </c>
      <c r="B2651" s="59" t="s">
        <v>600</v>
      </c>
      <c r="C2651" s="26" t="s">
        <v>19</v>
      </c>
      <c r="D2651" s="40">
        <f>(36*1.8*2)</f>
        <v>129.6</v>
      </c>
      <c r="E2651" s="41"/>
      <c r="F2651" s="42"/>
    </row>
    <row r="2652" spans="1:28" ht="31" customHeight="1" x14ac:dyDescent="0.35">
      <c r="A2652" s="24">
        <f>A2651+1</f>
        <v>1126</v>
      </c>
      <c r="B2652" s="59" t="s">
        <v>909</v>
      </c>
      <c r="C2652" s="26" t="s">
        <v>132</v>
      </c>
      <c r="D2652" s="40">
        <v>40</v>
      </c>
      <c r="E2652" s="41"/>
      <c r="F2652" s="42"/>
    </row>
    <row r="2653" spans="1:28" ht="31" hidden="1" customHeight="1" outlineLevel="1" x14ac:dyDescent="0.35">
      <c r="A2653" s="47"/>
      <c r="B2653" s="48" t="s">
        <v>910</v>
      </c>
      <c r="C2653" s="49" t="s">
        <v>58</v>
      </c>
      <c r="D2653" s="55">
        <v>1</v>
      </c>
      <c r="E2653" s="69">
        <v>1E-3</v>
      </c>
      <c r="F2653" s="42"/>
    </row>
    <row r="2654" spans="1:28" ht="31" hidden="1" customHeight="1" outlineLevel="1" x14ac:dyDescent="0.35">
      <c r="A2654" s="47"/>
      <c r="B2654" s="48" t="s">
        <v>911</v>
      </c>
      <c r="C2654" s="49" t="s">
        <v>58</v>
      </c>
      <c r="D2654" s="55">
        <v>2</v>
      </c>
      <c r="E2654" s="69">
        <v>2E-3</v>
      </c>
      <c r="F2654" s="42"/>
    </row>
    <row r="2655" spans="1:28" ht="31" hidden="1" customHeight="1" outlineLevel="1" x14ac:dyDescent="0.35">
      <c r="A2655" s="47"/>
      <c r="B2655" s="48" t="s">
        <v>912</v>
      </c>
      <c r="C2655" s="49" t="s">
        <v>58</v>
      </c>
      <c r="D2655" s="55">
        <v>12</v>
      </c>
      <c r="E2655" s="69">
        <v>3.5999999999999997E-2</v>
      </c>
      <c r="F2655" s="42"/>
    </row>
    <row r="2656" spans="1:28" ht="31" hidden="1" customHeight="1" outlineLevel="1" x14ac:dyDescent="0.35">
      <c r="A2656" s="47"/>
      <c r="B2656" s="48" t="s">
        <v>913</v>
      </c>
      <c r="C2656" s="49" t="s">
        <v>58</v>
      </c>
      <c r="D2656" s="55">
        <v>4</v>
      </c>
      <c r="E2656" s="69">
        <v>1E-3</v>
      </c>
      <c r="F2656" s="42"/>
    </row>
    <row r="2657" spans="1:28" ht="31" hidden="1" customHeight="1" outlineLevel="1" x14ac:dyDescent="0.35">
      <c r="A2657" s="47"/>
      <c r="B2657" s="48" t="s">
        <v>914</v>
      </c>
      <c r="C2657" s="49" t="s">
        <v>58</v>
      </c>
      <c r="D2657" s="55">
        <v>1</v>
      </c>
      <c r="E2657" s="69">
        <v>1E-3</v>
      </c>
      <c r="F2657" s="42"/>
    </row>
    <row r="2658" spans="1:28" s="58" customFormat="1" ht="30" hidden="1" customHeight="1" outlineLevel="1" x14ac:dyDescent="0.4">
      <c r="A2658" s="54"/>
      <c r="B2658" s="48" t="s">
        <v>915</v>
      </c>
      <c r="C2658" s="49" t="s">
        <v>74</v>
      </c>
      <c r="D2658" s="55">
        <v>2</v>
      </c>
      <c r="E2658" s="51">
        <v>2E-3</v>
      </c>
      <c r="F2658" s="57"/>
    </row>
    <row r="2659" spans="1:28" ht="30" customHeight="1" collapsed="1" x14ac:dyDescent="0.35">
      <c r="A2659" s="24">
        <f>A2652+1</f>
        <v>1127</v>
      </c>
      <c r="B2659" s="59" t="s">
        <v>916</v>
      </c>
      <c r="C2659" s="60" t="s">
        <v>19</v>
      </c>
      <c r="D2659" s="67">
        <v>129.30000000000001</v>
      </c>
      <c r="E2659" s="66"/>
      <c r="F2659" s="42"/>
    </row>
    <row r="2660" spans="1:28" ht="30.9" x14ac:dyDescent="0.35">
      <c r="A2660" s="24">
        <f>A2659+1</f>
        <v>1128</v>
      </c>
      <c r="B2660" s="59" t="s">
        <v>917</v>
      </c>
      <c r="C2660" s="26" t="s">
        <v>19</v>
      </c>
      <c r="D2660" s="67">
        <f>2*0.05</f>
        <v>0.1</v>
      </c>
      <c r="E2660" s="41"/>
      <c r="F2660" s="42"/>
    </row>
    <row r="2661" spans="1:28" s="58" customFormat="1" ht="30" hidden="1" customHeight="1" outlineLevel="1" x14ac:dyDescent="0.4">
      <c r="A2661" s="54"/>
      <c r="B2661" s="48" t="s">
        <v>918</v>
      </c>
      <c r="C2661" s="49" t="s">
        <v>29</v>
      </c>
      <c r="D2661" s="55">
        <v>2</v>
      </c>
      <c r="E2661" s="51"/>
      <c r="F2661" s="57"/>
    </row>
    <row r="2662" spans="1:28" ht="36" customHeight="1" collapsed="1" x14ac:dyDescent="0.35">
      <c r="A2662" s="24">
        <f>A2660+1</f>
        <v>1129</v>
      </c>
      <c r="B2662" s="59" t="s">
        <v>919</v>
      </c>
      <c r="C2662" s="26" t="s">
        <v>29</v>
      </c>
      <c r="D2662" s="82">
        <v>2</v>
      </c>
      <c r="E2662" s="41"/>
      <c r="F2662" s="42"/>
    </row>
    <row r="2663" spans="1:28" s="58" customFormat="1" ht="30" hidden="1" customHeight="1" outlineLevel="1" x14ac:dyDescent="0.4">
      <c r="A2663" s="54"/>
      <c r="B2663" s="48" t="s">
        <v>920</v>
      </c>
      <c r="C2663" s="49" t="s">
        <v>58</v>
      </c>
      <c r="D2663" s="55">
        <v>2</v>
      </c>
      <c r="E2663" s="51"/>
      <c r="F2663" s="57"/>
    </row>
    <row r="2664" spans="1:28" s="58" customFormat="1" ht="30" hidden="1" customHeight="1" outlineLevel="1" x14ac:dyDescent="0.4">
      <c r="A2664" s="54"/>
      <c r="B2664" s="48" t="s">
        <v>921</v>
      </c>
      <c r="C2664" s="49" t="s">
        <v>58</v>
      </c>
      <c r="D2664" s="55">
        <v>2</v>
      </c>
      <c r="E2664" s="51"/>
      <c r="F2664" s="57"/>
    </row>
    <row r="2665" spans="1:28" s="39" customFormat="1" ht="30" customHeight="1" collapsed="1" x14ac:dyDescent="0.35">
      <c r="A2665" s="153" t="s">
        <v>922</v>
      </c>
      <c r="B2665" s="153"/>
      <c r="C2665" s="153"/>
      <c r="D2665" s="153"/>
      <c r="E2665" s="153"/>
      <c r="F2665" s="34"/>
      <c r="G2665" s="35"/>
      <c r="H2665" s="36"/>
      <c r="I2665" s="37"/>
      <c r="J2665" s="37"/>
      <c r="K2665" s="38"/>
      <c r="L2665" s="38"/>
      <c r="M2665" s="38"/>
      <c r="N2665" s="36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</row>
    <row r="2666" spans="1:28" s="39" customFormat="1" ht="21" customHeight="1" x14ac:dyDescent="0.35">
      <c r="A2666" s="158" t="s">
        <v>923</v>
      </c>
      <c r="B2666" s="158"/>
      <c r="C2666" s="158"/>
      <c r="D2666" s="158"/>
      <c r="E2666" s="158"/>
      <c r="F2666" s="34"/>
      <c r="G2666" s="35"/>
      <c r="H2666" s="36"/>
      <c r="I2666" s="37"/>
      <c r="J2666" s="37"/>
      <c r="K2666" s="38"/>
      <c r="L2666" s="38"/>
      <c r="M2666" s="38"/>
      <c r="N2666" s="36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</row>
    <row r="2667" spans="1:28" ht="30" customHeight="1" x14ac:dyDescent="0.35">
      <c r="A2667" s="24">
        <f>A2662+1</f>
        <v>1130</v>
      </c>
      <c r="B2667" s="59" t="s">
        <v>924</v>
      </c>
      <c r="C2667" s="60" t="s">
        <v>62</v>
      </c>
      <c r="D2667" s="61" t="s">
        <v>925</v>
      </c>
      <c r="E2667" s="66"/>
      <c r="F2667" s="42"/>
    </row>
    <row r="2668" spans="1:28" s="58" customFormat="1" ht="30" customHeight="1" x14ac:dyDescent="0.4">
      <c r="A2668" s="24">
        <f>A2667+1</f>
        <v>1131</v>
      </c>
      <c r="B2668" s="59" t="s">
        <v>51</v>
      </c>
      <c r="C2668" s="70" t="s">
        <v>19</v>
      </c>
      <c r="D2668" s="67">
        <f>0.3*1</f>
        <v>0.3</v>
      </c>
      <c r="E2668" s="66"/>
      <c r="F2668" s="57"/>
    </row>
    <row r="2669" spans="1:28" s="58" customFormat="1" ht="30" hidden="1" customHeight="1" outlineLevel="1" x14ac:dyDescent="0.4">
      <c r="A2669" s="54"/>
      <c r="B2669" s="48" t="s">
        <v>52</v>
      </c>
      <c r="C2669" s="49" t="s">
        <v>19</v>
      </c>
      <c r="D2669" s="68">
        <f>0.3</f>
        <v>0.3</v>
      </c>
      <c r="E2669" s="69"/>
      <c r="F2669" s="57"/>
    </row>
    <row r="2670" spans="1:28" s="58" customFormat="1" ht="30" customHeight="1" collapsed="1" x14ac:dyDescent="0.4">
      <c r="A2670" s="24">
        <f>A2668+1</f>
        <v>1132</v>
      </c>
      <c r="B2670" s="119" t="s">
        <v>926</v>
      </c>
      <c r="C2670" s="120" t="s">
        <v>14</v>
      </c>
      <c r="D2670" s="122">
        <v>2.5999999999999999E-2</v>
      </c>
      <c r="E2670" s="66"/>
      <c r="F2670" s="57"/>
    </row>
    <row r="2671" spans="1:28" ht="30" hidden="1" customHeight="1" outlineLevel="1" x14ac:dyDescent="0.35">
      <c r="A2671" s="47"/>
      <c r="B2671" s="48" t="s">
        <v>137</v>
      </c>
      <c r="C2671" s="49" t="s">
        <v>14</v>
      </c>
      <c r="D2671" s="65">
        <f>8*2.71/1000*1</f>
        <v>2.1680000000000001E-2</v>
      </c>
      <c r="E2671" s="78"/>
      <c r="F2671" s="42"/>
    </row>
    <row r="2672" spans="1:28" ht="30" hidden="1" customHeight="1" outlineLevel="1" x14ac:dyDescent="0.35">
      <c r="A2672" s="47"/>
      <c r="B2672" s="48" t="s">
        <v>927</v>
      </c>
      <c r="C2672" s="49" t="s">
        <v>14</v>
      </c>
      <c r="D2672" s="65">
        <f>7*0.51/1000*1</f>
        <v>3.5700000000000003E-3</v>
      </c>
      <c r="E2672" s="78"/>
      <c r="F2672" s="42"/>
    </row>
    <row r="2673" spans="1:28" ht="31" customHeight="1" collapsed="1" x14ac:dyDescent="0.35">
      <c r="A2673" s="24">
        <f>A2670+1</f>
        <v>1133</v>
      </c>
      <c r="B2673" s="25" t="s">
        <v>928</v>
      </c>
      <c r="C2673" s="26" t="s">
        <v>19</v>
      </c>
      <c r="D2673" s="40">
        <f>0.52*1</f>
        <v>0.52</v>
      </c>
      <c r="E2673" s="41"/>
      <c r="F2673" s="42"/>
    </row>
    <row r="2674" spans="1:28" ht="31" hidden="1" customHeight="1" outlineLevel="1" x14ac:dyDescent="0.35">
      <c r="A2674" s="47"/>
      <c r="B2674" s="48" t="s">
        <v>65</v>
      </c>
      <c r="C2674" s="49" t="s">
        <v>19</v>
      </c>
      <c r="D2674" s="81">
        <f>0.52</f>
        <v>0.52</v>
      </c>
      <c r="E2674" s="69"/>
      <c r="F2674" s="42"/>
    </row>
    <row r="2675" spans="1:28" ht="36" customHeight="1" collapsed="1" x14ac:dyDescent="0.35">
      <c r="A2675" s="24">
        <f>A2673+1</f>
        <v>1134</v>
      </c>
      <c r="B2675" s="59" t="s">
        <v>138</v>
      </c>
      <c r="C2675" s="26" t="s">
        <v>67</v>
      </c>
      <c r="D2675" s="67" t="s">
        <v>929</v>
      </c>
      <c r="E2675" s="41"/>
      <c r="F2675" s="42"/>
    </row>
    <row r="2676" spans="1:28" s="58" customFormat="1" ht="30" hidden="1" customHeight="1" outlineLevel="1" x14ac:dyDescent="0.4">
      <c r="A2676" s="54"/>
      <c r="B2676" s="48" t="s">
        <v>930</v>
      </c>
      <c r="C2676" s="49" t="s">
        <v>58</v>
      </c>
      <c r="D2676" s="55">
        <v>1</v>
      </c>
      <c r="E2676" s="51">
        <v>0.108</v>
      </c>
      <c r="F2676" s="57"/>
    </row>
    <row r="2677" spans="1:28" ht="36" customHeight="1" collapsed="1" x14ac:dyDescent="0.35">
      <c r="A2677" s="24">
        <f>A2675+1</f>
        <v>1135</v>
      </c>
      <c r="B2677" s="59" t="s">
        <v>931</v>
      </c>
      <c r="C2677" s="26" t="s">
        <v>67</v>
      </c>
      <c r="D2677" s="67" t="s">
        <v>932</v>
      </c>
      <c r="E2677" s="41"/>
      <c r="F2677" s="42"/>
    </row>
    <row r="2678" spans="1:28" s="58" customFormat="1" ht="30" hidden="1" customHeight="1" outlineLevel="1" x14ac:dyDescent="0.4">
      <c r="A2678" s="54"/>
      <c r="B2678" s="48" t="s">
        <v>91</v>
      </c>
      <c r="C2678" s="49" t="s">
        <v>58</v>
      </c>
      <c r="D2678" s="55">
        <v>1</v>
      </c>
      <c r="E2678" s="51">
        <v>0.183</v>
      </c>
      <c r="F2678" s="57"/>
    </row>
    <row r="2679" spans="1:28" s="39" customFormat="1" ht="30" customHeight="1" collapsed="1" x14ac:dyDescent="0.35">
      <c r="A2679" s="153" t="s">
        <v>933</v>
      </c>
      <c r="B2679" s="153"/>
      <c r="C2679" s="153"/>
      <c r="D2679" s="153"/>
      <c r="E2679" s="153"/>
      <c r="F2679" s="34"/>
      <c r="G2679" s="35"/>
      <c r="H2679" s="36"/>
      <c r="I2679" s="37"/>
      <c r="J2679" s="37"/>
      <c r="K2679" s="38"/>
      <c r="L2679" s="38"/>
      <c r="M2679" s="38"/>
      <c r="N2679" s="36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</row>
    <row r="2680" spans="1:28" s="39" customFormat="1" ht="21" customHeight="1" x14ac:dyDescent="0.35">
      <c r="A2680" s="158" t="s">
        <v>934</v>
      </c>
      <c r="B2680" s="158"/>
      <c r="C2680" s="158"/>
      <c r="D2680" s="158"/>
      <c r="E2680" s="158"/>
      <c r="F2680" s="34"/>
      <c r="G2680" s="35"/>
      <c r="H2680" s="36"/>
      <c r="I2680" s="37"/>
      <c r="J2680" s="37"/>
      <c r="K2680" s="38"/>
      <c r="L2680" s="38"/>
      <c r="M2680" s="38"/>
      <c r="N2680" s="36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</row>
    <row r="2681" spans="1:28" ht="30" customHeight="1" x14ac:dyDescent="0.35">
      <c r="A2681" s="24">
        <f>A2677+1</f>
        <v>1136</v>
      </c>
      <c r="B2681" s="59" t="s">
        <v>600</v>
      </c>
      <c r="C2681" s="60" t="s">
        <v>19</v>
      </c>
      <c r="D2681" s="62">
        <f>5.5*5.5*2.2*5</f>
        <v>332.75000000000006</v>
      </c>
      <c r="E2681" s="66"/>
      <c r="F2681" s="42"/>
    </row>
    <row r="2682" spans="1:28" s="58" customFormat="1" ht="30" customHeight="1" x14ac:dyDescent="0.4">
      <c r="A2682" s="24">
        <f>A2681+1</f>
        <v>1137</v>
      </c>
      <c r="B2682" s="59" t="s">
        <v>766</v>
      </c>
      <c r="C2682" s="70" t="s">
        <v>29</v>
      </c>
      <c r="D2682" s="67">
        <f>5.5*5.5*5</f>
        <v>151.25</v>
      </c>
      <c r="E2682" s="66"/>
      <c r="F2682" s="57"/>
    </row>
    <row r="2683" spans="1:28" ht="33" customHeight="1" x14ac:dyDescent="0.35">
      <c r="A2683" s="24">
        <f>A2682+1</f>
        <v>1138</v>
      </c>
      <c r="B2683" s="25" t="s">
        <v>136</v>
      </c>
      <c r="C2683" s="26" t="s">
        <v>19</v>
      </c>
      <c r="D2683" s="40">
        <f>1.3*5</f>
        <v>6.5</v>
      </c>
      <c r="E2683" s="41"/>
      <c r="F2683" s="53"/>
    </row>
    <row r="2684" spans="1:28" s="58" customFormat="1" ht="30" hidden="1" customHeight="1" outlineLevel="1" x14ac:dyDescent="0.4">
      <c r="A2684" s="54"/>
      <c r="B2684" s="48" t="s">
        <v>134</v>
      </c>
      <c r="C2684" s="49" t="s">
        <v>19</v>
      </c>
      <c r="D2684" s="68">
        <f>D2683</f>
        <v>6.5</v>
      </c>
      <c r="E2684" s="69"/>
      <c r="F2684" s="57"/>
    </row>
    <row r="2685" spans="1:28" s="58" customFormat="1" ht="30" customHeight="1" collapsed="1" x14ac:dyDescent="0.4">
      <c r="A2685" s="24">
        <f>A2683+1</f>
        <v>1139</v>
      </c>
      <c r="B2685" s="119" t="s">
        <v>935</v>
      </c>
      <c r="C2685" s="120" t="s">
        <v>19</v>
      </c>
      <c r="D2685" s="123">
        <f>5.073*5</f>
        <v>25.365000000000002</v>
      </c>
      <c r="E2685" s="66"/>
      <c r="F2685" s="57"/>
    </row>
    <row r="2686" spans="1:28" ht="30" hidden="1" customHeight="1" outlineLevel="1" x14ac:dyDescent="0.35">
      <c r="A2686" s="47"/>
      <c r="B2686" s="48" t="s">
        <v>936</v>
      </c>
      <c r="C2686" s="49" t="s">
        <v>14</v>
      </c>
      <c r="D2686" s="65">
        <f>4*4.66/1000*5</f>
        <v>9.3200000000000005E-2</v>
      </c>
      <c r="E2686" s="78"/>
      <c r="F2686" s="42"/>
    </row>
    <row r="2687" spans="1:28" ht="30" hidden="1" customHeight="1" outlineLevel="1" x14ac:dyDescent="0.35">
      <c r="A2687" s="47"/>
      <c r="B2687" s="48" t="s">
        <v>937</v>
      </c>
      <c r="C2687" s="49" t="s">
        <v>14</v>
      </c>
      <c r="D2687" s="65">
        <f>8*(0.73+0.52)/1000*5</f>
        <v>0.05</v>
      </c>
      <c r="E2687" s="78"/>
      <c r="F2687" s="42"/>
    </row>
    <row r="2688" spans="1:28" ht="30" hidden="1" customHeight="1" outlineLevel="1" x14ac:dyDescent="0.35">
      <c r="A2688" s="47"/>
      <c r="B2688" s="48" t="s">
        <v>927</v>
      </c>
      <c r="C2688" s="49" t="s">
        <v>14</v>
      </c>
      <c r="D2688" s="65">
        <f>16*0.21/1000*5</f>
        <v>1.6799999999999999E-2</v>
      </c>
      <c r="E2688" s="78"/>
      <c r="F2688" s="42"/>
    </row>
    <row r="2689" spans="1:28" ht="30" hidden="1" customHeight="1" outlineLevel="1" x14ac:dyDescent="0.35">
      <c r="A2689" s="47"/>
      <c r="B2689" s="48" t="s">
        <v>65</v>
      </c>
      <c r="C2689" s="49" t="s">
        <v>19</v>
      </c>
      <c r="D2689" s="68">
        <f>5.073*5</f>
        <v>25.365000000000002</v>
      </c>
      <c r="E2689" s="78"/>
      <c r="F2689" s="42"/>
    </row>
    <row r="2690" spans="1:28" ht="36" customHeight="1" collapsed="1" x14ac:dyDescent="0.35">
      <c r="A2690" s="24">
        <f>A2685+1</f>
        <v>1140</v>
      </c>
      <c r="B2690" s="59" t="s">
        <v>138</v>
      </c>
      <c r="C2690" s="26" t="s">
        <v>67</v>
      </c>
      <c r="D2690" s="67" t="s">
        <v>938</v>
      </c>
      <c r="E2690" s="41"/>
      <c r="F2690" s="42"/>
    </row>
    <row r="2691" spans="1:28" s="58" customFormat="1" ht="30" hidden="1" customHeight="1" outlineLevel="1" x14ac:dyDescent="0.4">
      <c r="A2691" s="54"/>
      <c r="B2691" s="48" t="s">
        <v>939</v>
      </c>
      <c r="C2691" s="49" t="s">
        <v>58</v>
      </c>
      <c r="D2691" s="55">
        <v>5</v>
      </c>
      <c r="E2691" s="51">
        <v>0.9</v>
      </c>
      <c r="F2691" s="57"/>
    </row>
    <row r="2692" spans="1:28" ht="31" customHeight="1" collapsed="1" x14ac:dyDescent="0.35">
      <c r="A2692" s="24">
        <f>A2690+1</f>
        <v>1141</v>
      </c>
      <c r="B2692" s="25" t="s">
        <v>174</v>
      </c>
      <c r="C2692" s="26" t="s">
        <v>29</v>
      </c>
      <c r="D2692" s="80">
        <f>(((3.4*0.2)+(2.6*0.2)+(1.8*0.2)+(1.5*0.9))*4)*5</f>
        <v>58.2</v>
      </c>
      <c r="E2692" s="41"/>
      <c r="F2692" s="42"/>
    </row>
    <row r="2693" spans="1:28" ht="31" hidden="1" customHeight="1" outlineLevel="1" x14ac:dyDescent="0.35">
      <c r="A2693" s="47"/>
      <c r="B2693" s="48" t="s">
        <v>175</v>
      </c>
      <c r="C2693" s="49" t="s">
        <v>74</v>
      </c>
      <c r="D2693" s="68">
        <f>D2692*2*2</f>
        <v>232.8</v>
      </c>
      <c r="E2693" s="69">
        <v>0.23300000000000001</v>
      </c>
      <c r="F2693" s="42"/>
    </row>
    <row r="2694" spans="1:28" s="39" customFormat="1" ht="30" customHeight="1" collapsed="1" x14ac:dyDescent="0.35">
      <c r="A2694" s="153" t="s">
        <v>940</v>
      </c>
      <c r="B2694" s="153"/>
      <c r="C2694" s="153"/>
      <c r="D2694" s="153"/>
      <c r="E2694" s="153"/>
      <c r="F2694" s="34"/>
      <c r="G2694" s="35"/>
      <c r="H2694" s="36"/>
      <c r="I2694" s="37"/>
      <c r="J2694" s="37"/>
      <c r="K2694" s="38"/>
      <c r="L2694" s="38"/>
      <c r="M2694" s="38"/>
      <c r="N2694" s="36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</row>
    <row r="2695" spans="1:28" s="39" customFormat="1" ht="21" customHeight="1" x14ac:dyDescent="0.35">
      <c r="A2695" s="158" t="s">
        <v>934</v>
      </c>
      <c r="B2695" s="158"/>
      <c r="C2695" s="158"/>
      <c r="D2695" s="158"/>
      <c r="E2695" s="158"/>
      <c r="F2695" s="34"/>
      <c r="G2695" s="35"/>
      <c r="H2695" s="36"/>
      <c r="I2695" s="37"/>
      <c r="J2695" s="37"/>
      <c r="K2695" s="38"/>
      <c r="L2695" s="38"/>
      <c r="M2695" s="38"/>
      <c r="N2695" s="36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</row>
    <row r="2696" spans="1:28" ht="30" customHeight="1" x14ac:dyDescent="0.35">
      <c r="A2696" s="24">
        <f>A2692+1</f>
        <v>1142</v>
      </c>
      <c r="B2696" s="59" t="s">
        <v>600</v>
      </c>
      <c r="C2696" s="60" t="s">
        <v>19</v>
      </c>
      <c r="D2696" s="62">
        <f>5.5*5.5*2.2*2</f>
        <v>133.10000000000002</v>
      </c>
      <c r="E2696" s="66"/>
      <c r="F2696" s="42"/>
    </row>
    <row r="2697" spans="1:28" s="58" customFormat="1" ht="30" customHeight="1" x14ac:dyDescent="0.4">
      <c r="A2697" s="24">
        <f>A2696+1</f>
        <v>1143</v>
      </c>
      <c r="B2697" s="59" t="s">
        <v>766</v>
      </c>
      <c r="C2697" s="70" t="s">
        <v>29</v>
      </c>
      <c r="D2697" s="67">
        <f>5.5*5.5*2</f>
        <v>60.5</v>
      </c>
      <c r="E2697" s="66"/>
      <c r="F2697" s="57"/>
    </row>
    <row r="2698" spans="1:28" ht="33" customHeight="1" x14ac:dyDescent="0.35">
      <c r="A2698" s="24">
        <f>A2697+1</f>
        <v>1144</v>
      </c>
      <c r="B2698" s="25" t="s">
        <v>136</v>
      </c>
      <c r="C2698" s="26" t="s">
        <v>19</v>
      </c>
      <c r="D2698" s="40">
        <f>1.3*2</f>
        <v>2.6</v>
      </c>
      <c r="E2698" s="41"/>
      <c r="F2698" s="53"/>
    </row>
    <row r="2699" spans="1:28" s="58" customFormat="1" ht="30" hidden="1" customHeight="1" outlineLevel="1" x14ac:dyDescent="0.4">
      <c r="A2699" s="54"/>
      <c r="B2699" s="48" t="s">
        <v>134</v>
      </c>
      <c r="C2699" s="49" t="s">
        <v>19</v>
      </c>
      <c r="D2699" s="68">
        <f>D2698</f>
        <v>2.6</v>
      </c>
      <c r="E2699" s="69"/>
      <c r="F2699" s="57"/>
    </row>
    <row r="2700" spans="1:28" s="58" customFormat="1" ht="30" customHeight="1" collapsed="1" x14ac:dyDescent="0.4">
      <c r="A2700" s="24">
        <f>A2698+1</f>
        <v>1145</v>
      </c>
      <c r="B2700" s="119" t="s">
        <v>935</v>
      </c>
      <c r="C2700" s="120" t="s">
        <v>19</v>
      </c>
      <c r="D2700" s="123">
        <f>5.073*2</f>
        <v>10.146000000000001</v>
      </c>
      <c r="E2700" s="66"/>
      <c r="F2700" s="57"/>
    </row>
    <row r="2701" spans="1:28" ht="30" hidden="1" customHeight="1" outlineLevel="1" x14ac:dyDescent="0.35">
      <c r="A2701" s="47"/>
      <c r="B2701" s="48" t="s">
        <v>936</v>
      </c>
      <c r="C2701" s="49" t="s">
        <v>14</v>
      </c>
      <c r="D2701" s="65">
        <f>4*4.66/1000*2</f>
        <v>3.7280000000000001E-2</v>
      </c>
      <c r="E2701" s="78"/>
      <c r="F2701" s="42"/>
    </row>
    <row r="2702" spans="1:28" ht="30" hidden="1" customHeight="1" outlineLevel="1" x14ac:dyDescent="0.35">
      <c r="A2702" s="47"/>
      <c r="B2702" s="48" t="s">
        <v>937</v>
      </c>
      <c r="C2702" s="49" t="s">
        <v>14</v>
      </c>
      <c r="D2702" s="65">
        <f>8*(0.73+0.52)/1000*2</f>
        <v>0.02</v>
      </c>
      <c r="E2702" s="78"/>
      <c r="F2702" s="42"/>
    </row>
    <row r="2703" spans="1:28" ht="30" hidden="1" customHeight="1" outlineLevel="1" x14ac:dyDescent="0.35">
      <c r="A2703" s="47"/>
      <c r="B2703" s="48" t="s">
        <v>927</v>
      </c>
      <c r="C2703" s="49" t="s">
        <v>14</v>
      </c>
      <c r="D2703" s="65">
        <f>16*0.21/1000*2</f>
        <v>6.7199999999999994E-3</v>
      </c>
      <c r="E2703" s="78"/>
      <c r="F2703" s="42"/>
    </row>
    <row r="2704" spans="1:28" ht="30" hidden="1" customHeight="1" outlineLevel="1" x14ac:dyDescent="0.35">
      <c r="A2704" s="47"/>
      <c r="B2704" s="48" t="s">
        <v>65</v>
      </c>
      <c r="C2704" s="49" t="s">
        <v>19</v>
      </c>
      <c r="D2704" s="68">
        <f>5.073*2</f>
        <v>10.146000000000001</v>
      </c>
      <c r="E2704" s="78"/>
      <c r="F2704" s="42"/>
    </row>
    <row r="2705" spans="1:28" ht="36" customHeight="1" collapsed="1" x14ac:dyDescent="0.35">
      <c r="A2705" s="24">
        <f>A2700+1</f>
        <v>1146</v>
      </c>
      <c r="B2705" s="59" t="s">
        <v>138</v>
      </c>
      <c r="C2705" s="26" t="s">
        <v>67</v>
      </c>
      <c r="D2705" s="67" t="s">
        <v>941</v>
      </c>
      <c r="E2705" s="41"/>
      <c r="F2705" s="42"/>
    </row>
    <row r="2706" spans="1:28" s="58" customFormat="1" ht="30" hidden="1" customHeight="1" outlineLevel="1" x14ac:dyDescent="0.4">
      <c r="A2706" s="54"/>
      <c r="B2706" s="48" t="s">
        <v>939</v>
      </c>
      <c r="C2706" s="49" t="s">
        <v>58</v>
      </c>
      <c r="D2706" s="55">
        <v>2</v>
      </c>
      <c r="E2706" s="51">
        <v>0.36</v>
      </c>
      <c r="F2706" s="57"/>
    </row>
    <row r="2707" spans="1:28" ht="31" customHeight="1" collapsed="1" x14ac:dyDescent="0.35">
      <c r="A2707" s="24">
        <f>A2705+1</f>
        <v>1147</v>
      </c>
      <c r="B2707" s="25" t="s">
        <v>174</v>
      </c>
      <c r="C2707" s="26" t="s">
        <v>29</v>
      </c>
      <c r="D2707" s="80">
        <f>(((3.4*0.2)+(2.6*0.2)+(1.8*0.2)+(1.5*0.9))*4)*2</f>
        <v>23.28</v>
      </c>
      <c r="E2707" s="41"/>
      <c r="F2707" s="42"/>
    </row>
    <row r="2708" spans="1:28" ht="31" hidden="1" customHeight="1" outlineLevel="1" x14ac:dyDescent="0.35">
      <c r="A2708" s="47"/>
      <c r="B2708" s="48" t="s">
        <v>175</v>
      </c>
      <c r="C2708" s="49" t="s">
        <v>74</v>
      </c>
      <c r="D2708" s="68">
        <f>D2707*2*2</f>
        <v>93.12</v>
      </c>
      <c r="E2708" s="69">
        <v>9.2999999999999999E-2</v>
      </c>
      <c r="F2708" s="42"/>
    </row>
    <row r="2709" spans="1:28" s="39" customFormat="1" ht="21" customHeight="1" collapsed="1" x14ac:dyDescent="0.35">
      <c r="A2709" s="158" t="s">
        <v>942</v>
      </c>
      <c r="B2709" s="158"/>
      <c r="C2709" s="158"/>
      <c r="D2709" s="158"/>
      <c r="E2709" s="158"/>
      <c r="F2709" s="34"/>
      <c r="G2709" s="35"/>
      <c r="H2709" s="36"/>
      <c r="I2709" s="37"/>
      <c r="J2709" s="37"/>
      <c r="K2709" s="38"/>
      <c r="L2709" s="38"/>
      <c r="M2709" s="38"/>
      <c r="N2709" s="36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</row>
    <row r="2710" spans="1:28" ht="33" customHeight="1" x14ac:dyDescent="0.35">
      <c r="A2710" s="24">
        <f>A2707+1</f>
        <v>1148</v>
      </c>
      <c r="B2710" s="25" t="s">
        <v>943</v>
      </c>
      <c r="C2710" s="26" t="s">
        <v>58</v>
      </c>
      <c r="D2710" s="40">
        <v>1</v>
      </c>
      <c r="E2710" s="41"/>
      <c r="F2710" s="53"/>
    </row>
    <row r="2711" spans="1:28" ht="34.5" hidden="1" customHeight="1" outlineLevel="1" x14ac:dyDescent="0.35">
      <c r="A2711" s="47"/>
      <c r="B2711" s="48" t="s">
        <v>944</v>
      </c>
      <c r="C2711" s="75" t="s">
        <v>58</v>
      </c>
      <c r="D2711" s="55">
        <v>1</v>
      </c>
      <c r="E2711" s="78">
        <v>0.03</v>
      </c>
      <c r="F2711" s="42"/>
    </row>
    <row r="2712" spans="1:28" ht="36" customHeight="1" collapsed="1" x14ac:dyDescent="0.35">
      <c r="A2712" s="24">
        <f>A2710+1</f>
        <v>1149</v>
      </c>
      <c r="B2712" s="59" t="s">
        <v>945</v>
      </c>
      <c r="C2712" s="26" t="s">
        <v>67</v>
      </c>
      <c r="D2712" s="67" t="s">
        <v>946</v>
      </c>
      <c r="E2712" s="41"/>
      <c r="F2712" s="42"/>
    </row>
    <row r="2713" spans="1:28" s="58" customFormat="1" ht="30" hidden="1" customHeight="1" outlineLevel="1" x14ac:dyDescent="0.4">
      <c r="A2713" s="54"/>
      <c r="B2713" s="48" t="s">
        <v>947</v>
      </c>
      <c r="C2713" s="49" t="s">
        <v>58</v>
      </c>
      <c r="D2713" s="55">
        <v>5</v>
      </c>
      <c r="E2713" s="51">
        <v>6</v>
      </c>
      <c r="F2713" s="57"/>
    </row>
    <row r="2714" spans="1:28" ht="36" customHeight="1" collapsed="1" x14ac:dyDescent="0.35">
      <c r="A2714" s="24">
        <f>A2712+1</f>
        <v>1150</v>
      </c>
      <c r="B2714" s="59" t="s">
        <v>945</v>
      </c>
      <c r="C2714" s="26" t="s">
        <v>67</v>
      </c>
      <c r="D2714" s="67" t="s">
        <v>948</v>
      </c>
      <c r="E2714" s="41"/>
      <c r="F2714" s="42"/>
    </row>
    <row r="2715" spans="1:28" s="58" customFormat="1" ht="30" hidden="1" customHeight="1" outlineLevel="1" x14ac:dyDescent="0.4">
      <c r="A2715" s="54"/>
      <c r="B2715" s="48" t="s">
        <v>949</v>
      </c>
      <c r="C2715" s="49" t="s">
        <v>58</v>
      </c>
      <c r="D2715" s="55">
        <v>2</v>
      </c>
      <c r="E2715" s="51">
        <v>2.4</v>
      </c>
      <c r="F2715" s="57"/>
    </row>
    <row r="2716" spans="1:28" ht="36" customHeight="1" collapsed="1" x14ac:dyDescent="0.35">
      <c r="A2716" s="24">
        <f>A2714+1</f>
        <v>1151</v>
      </c>
      <c r="B2716" s="59" t="s">
        <v>316</v>
      </c>
      <c r="C2716" s="26" t="s">
        <v>132</v>
      </c>
      <c r="D2716" s="82">
        <v>60</v>
      </c>
      <c r="E2716" s="41"/>
      <c r="F2716" s="42"/>
    </row>
    <row r="2717" spans="1:28" s="58" customFormat="1" ht="30" hidden="1" customHeight="1" outlineLevel="1" x14ac:dyDescent="0.4">
      <c r="A2717" s="54"/>
      <c r="B2717" s="48" t="s">
        <v>407</v>
      </c>
      <c r="C2717" s="49" t="s">
        <v>132</v>
      </c>
      <c r="D2717" s="55">
        <v>60</v>
      </c>
      <c r="E2717" s="51"/>
      <c r="F2717" s="57"/>
    </row>
    <row r="2718" spans="1:28" s="58" customFormat="1" ht="30" hidden="1" customHeight="1" outlineLevel="1" x14ac:dyDescent="0.4">
      <c r="A2718" s="54"/>
      <c r="B2718" s="48" t="s">
        <v>408</v>
      </c>
      <c r="C2718" s="49" t="s">
        <v>58</v>
      </c>
      <c r="D2718" s="55">
        <v>24</v>
      </c>
      <c r="E2718" s="51"/>
      <c r="F2718" s="57"/>
    </row>
    <row r="2719" spans="1:28" s="58" customFormat="1" ht="30" hidden="1" customHeight="1" outlineLevel="1" x14ac:dyDescent="0.4">
      <c r="A2719" s="54"/>
      <c r="B2719" s="48" t="s">
        <v>409</v>
      </c>
      <c r="C2719" s="49" t="s">
        <v>58</v>
      </c>
      <c r="D2719" s="55">
        <v>24</v>
      </c>
      <c r="E2719" s="51"/>
      <c r="F2719" s="57"/>
    </row>
    <row r="2720" spans="1:28" s="58" customFormat="1" ht="30" hidden="1" customHeight="1" outlineLevel="1" x14ac:dyDescent="0.4">
      <c r="A2720" s="54"/>
      <c r="B2720" s="48" t="s">
        <v>410</v>
      </c>
      <c r="C2720" s="49" t="s">
        <v>58</v>
      </c>
      <c r="D2720" s="55">
        <v>24</v>
      </c>
      <c r="E2720" s="51"/>
      <c r="F2720" s="57"/>
    </row>
    <row r="2721" spans="1:28" s="58" customFormat="1" ht="30" hidden="1" customHeight="1" outlineLevel="1" x14ac:dyDescent="0.4">
      <c r="A2721" s="54"/>
      <c r="B2721" s="48" t="s">
        <v>411</v>
      </c>
      <c r="C2721" s="49" t="s">
        <v>58</v>
      </c>
      <c r="D2721" s="55">
        <v>48</v>
      </c>
      <c r="E2721" s="51"/>
      <c r="F2721" s="57"/>
    </row>
    <row r="2722" spans="1:28" s="58" customFormat="1" ht="30" customHeight="1" collapsed="1" x14ac:dyDescent="0.4">
      <c r="A2722" s="72">
        <f>A2716+1</f>
        <v>1152</v>
      </c>
      <c r="B2722" s="25" t="s">
        <v>308</v>
      </c>
      <c r="C2722" s="89" t="s">
        <v>19</v>
      </c>
      <c r="D2722" s="105">
        <f>0.7*0.5*140</f>
        <v>49</v>
      </c>
      <c r="E2722" s="91"/>
      <c r="F2722" s="57"/>
    </row>
    <row r="2723" spans="1:28" s="58" customFormat="1" ht="30" customHeight="1" x14ac:dyDescent="0.4">
      <c r="A2723" s="72">
        <f>A2722+1</f>
        <v>1153</v>
      </c>
      <c r="B2723" s="25" t="s">
        <v>309</v>
      </c>
      <c r="C2723" s="89" t="s">
        <v>19</v>
      </c>
      <c r="D2723" s="105">
        <f>0.7*0.5*140</f>
        <v>49</v>
      </c>
      <c r="E2723" s="91"/>
      <c r="F2723" s="57"/>
    </row>
    <row r="2724" spans="1:28" s="58" customFormat="1" ht="30" customHeight="1" x14ac:dyDescent="0.4">
      <c r="A2724" s="24">
        <f>A2723+1</f>
        <v>1154</v>
      </c>
      <c r="B2724" s="25" t="s">
        <v>310</v>
      </c>
      <c r="C2724" s="89" t="s">
        <v>19</v>
      </c>
      <c r="D2724" s="105">
        <f>0.7*0.5*140</f>
        <v>49</v>
      </c>
      <c r="E2724" s="91"/>
      <c r="F2724" s="57"/>
    </row>
    <row r="2725" spans="1:28" s="58" customFormat="1" ht="30" customHeight="1" x14ac:dyDescent="0.4">
      <c r="A2725" s="24">
        <f>A2724+1</f>
        <v>1155</v>
      </c>
      <c r="B2725" s="59" t="s">
        <v>403</v>
      </c>
      <c r="C2725" s="70" t="s">
        <v>132</v>
      </c>
      <c r="D2725" s="40">
        <v>140</v>
      </c>
      <c r="E2725" s="66"/>
      <c r="F2725" s="57"/>
    </row>
    <row r="2726" spans="1:28" s="58" customFormat="1" ht="30" hidden="1" customHeight="1" outlineLevel="1" x14ac:dyDescent="0.4">
      <c r="A2726" s="54"/>
      <c r="B2726" s="48" t="s">
        <v>404</v>
      </c>
      <c r="C2726" s="49" t="s">
        <v>14</v>
      </c>
      <c r="D2726" s="65">
        <f>140*1.26/1000</f>
        <v>0.1764</v>
      </c>
      <c r="E2726" s="51">
        <f>140*1.26/1000</f>
        <v>0.1764</v>
      </c>
      <c r="F2726" s="57"/>
    </row>
    <row r="2727" spans="1:28" ht="36" customHeight="1" collapsed="1" x14ac:dyDescent="0.35">
      <c r="A2727" s="24">
        <f>A2725+1</f>
        <v>1156</v>
      </c>
      <c r="B2727" s="59" t="s">
        <v>405</v>
      </c>
      <c r="C2727" s="26" t="s">
        <v>58</v>
      </c>
      <c r="D2727" s="82">
        <v>27</v>
      </c>
      <c r="E2727" s="41"/>
      <c r="F2727" s="42"/>
    </row>
    <row r="2728" spans="1:28" s="58" customFormat="1" ht="30" hidden="1" customHeight="1" outlineLevel="1" x14ac:dyDescent="0.4">
      <c r="A2728" s="54"/>
      <c r="B2728" s="48" t="s">
        <v>406</v>
      </c>
      <c r="C2728" s="49" t="s">
        <v>14</v>
      </c>
      <c r="D2728" s="65">
        <f>135*1.58/1000</f>
        <v>0.21330000000000002</v>
      </c>
      <c r="E2728" s="51">
        <f>135*1.58/1000</f>
        <v>0.21330000000000002</v>
      </c>
      <c r="F2728" s="57"/>
    </row>
    <row r="2729" spans="1:28" s="39" customFormat="1" ht="30" customHeight="1" collapsed="1" x14ac:dyDescent="0.35">
      <c r="A2729" s="153" t="s">
        <v>950</v>
      </c>
      <c r="B2729" s="153"/>
      <c r="C2729" s="153"/>
      <c r="D2729" s="153"/>
      <c r="E2729" s="153"/>
      <c r="F2729" s="34"/>
      <c r="G2729" s="35"/>
      <c r="H2729" s="36"/>
      <c r="I2729" s="37"/>
      <c r="J2729" s="37"/>
      <c r="K2729" s="38"/>
      <c r="L2729" s="38"/>
      <c r="M2729" s="38"/>
      <c r="N2729" s="36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</row>
    <row r="2730" spans="1:28" s="39" customFormat="1" ht="21" customHeight="1" x14ac:dyDescent="0.35">
      <c r="A2730" s="158" t="s">
        <v>951</v>
      </c>
      <c r="B2730" s="158"/>
      <c r="C2730" s="158"/>
      <c r="D2730" s="158"/>
      <c r="E2730" s="158"/>
      <c r="F2730" s="34"/>
      <c r="G2730" s="35"/>
      <c r="H2730" s="36"/>
      <c r="I2730" s="37"/>
      <c r="J2730" s="37"/>
      <c r="K2730" s="38"/>
      <c r="L2730" s="38"/>
      <c r="M2730" s="38"/>
      <c r="N2730" s="36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</row>
    <row r="2731" spans="1:28" ht="30" customHeight="1" x14ac:dyDescent="0.35">
      <c r="A2731" s="24">
        <f>A2727+1</f>
        <v>1157</v>
      </c>
      <c r="B2731" s="25" t="s">
        <v>131</v>
      </c>
      <c r="C2731" s="26" t="s">
        <v>132</v>
      </c>
      <c r="D2731" s="73">
        <v>73</v>
      </c>
      <c r="E2731" s="41"/>
      <c r="F2731" s="42"/>
    </row>
    <row r="2732" spans="1:28" ht="31" hidden="1" customHeight="1" outlineLevel="1" x14ac:dyDescent="0.35">
      <c r="A2732" s="47"/>
      <c r="B2732" s="48" t="s">
        <v>133</v>
      </c>
      <c r="C2732" s="49" t="s">
        <v>58</v>
      </c>
      <c r="D2732" s="55">
        <v>73</v>
      </c>
      <c r="E2732" s="56">
        <v>7.3</v>
      </c>
      <c r="F2732" s="42"/>
    </row>
    <row r="2733" spans="1:28" ht="31" hidden="1" customHeight="1" outlineLevel="1" x14ac:dyDescent="0.35">
      <c r="A2733" s="74"/>
      <c r="B2733" s="48" t="s">
        <v>134</v>
      </c>
      <c r="C2733" s="49" t="s">
        <v>19</v>
      </c>
      <c r="D2733" s="68">
        <f>3.66</f>
        <v>3.66</v>
      </c>
      <c r="E2733" s="69"/>
      <c r="F2733" s="42"/>
    </row>
    <row r="2734" spans="1:28" ht="30" customHeight="1" collapsed="1" x14ac:dyDescent="0.35">
      <c r="A2734" s="24">
        <f>A2731+1</f>
        <v>1158</v>
      </c>
      <c r="B2734" s="25" t="s">
        <v>766</v>
      </c>
      <c r="C2734" s="26" t="s">
        <v>29</v>
      </c>
      <c r="D2734" s="67">
        <f>18.4*20.4</f>
        <v>375.35999999999996</v>
      </c>
      <c r="E2734" s="41"/>
      <c r="F2734" s="42"/>
    </row>
    <row r="2735" spans="1:28" ht="30" customHeight="1" x14ac:dyDescent="0.35">
      <c r="A2735" s="24">
        <f>A2734+1</f>
        <v>1159</v>
      </c>
      <c r="B2735" s="25" t="s">
        <v>952</v>
      </c>
      <c r="C2735" s="26" t="s">
        <v>29</v>
      </c>
      <c r="D2735" s="67">
        <f>18.4*20.4</f>
        <v>375.35999999999996</v>
      </c>
      <c r="E2735" s="41"/>
      <c r="F2735" s="42"/>
    </row>
    <row r="2736" spans="1:28" ht="31" hidden="1" customHeight="1" outlineLevel="1" x14ac:dyDescent="0.35">
      <c r="A2736" s="47"/>
      <c r="B2736" s="48" t="s">
        <v>52</v>
      </c>
      <c r="C2736" s="49" t="s">
        <v>19</v>
      </c>
      <c r="D2736" s="50">
        <f>5.1*D2735/100</f>
        <v>19.143359999999994</v>
      </c>
      <c r="E2736" s="51"/>
      <c r="F2736" s="42"/>
    </row>
    <row r="2737" spans="1:28" ht="30" customHeight="1" collapsed="1" x14ac:dyDescent="0.35">
      <c r="A2737" s="24">
        <f>A2735+1</f>
        <v>1160</v>
      </c>
      <c r="B2737" s="25" t="s">
        <v>51</v>
      </c>
      <c r="C2737" s="26" t="s">
        <v>19</v>
      </c>
      <c r="D2737" s="40">
        <v>84.3</v>
      </c>
      <c r="E2737" s="41"/>
      <c r="F2737" s="42"/>
    </row>
    <row r="2738" spans="1:28" ht="31" hidden="1" customHeight="1" outlineLevel="1" x14ac:dyDescent="0.35">
      <c r="A2738" s="47"/>
      <c r="B2738" s="48" t="s">
        <v>52</v>
      </c>
      <c r="C2738" s="49" t="s">
        <v>19</v>
      </c>
      <c r="D2738" s="50">
        <f>84.3</f>
        <v>84.3</v>
      </c>
      <c r="E2738" s="51"/>
      <c r="F2738" s="42"/>
    </row>
    <row r="2739" spans="1:28" s="58" customFormat="1" ht="30" customHeight="1" collapsed="1" x14ac:dyDescent="0.4">
      <c r="A2739" s="24">
        <f>A2737+1</f>
        <v>1161</v>
      </c>
      <c r="B2739" s="83" t="s">
        <v>389</v>
      </c>
      <c r="C2739" s="84" t="s">
        <v>19</v>
      </c>
      <c r="D2739" s="85">
        <v>47.91</v>
      </c>
      <c r="E2739" s="66"/>
      <c r="F2739" s="57"/>
    </row>
    <row r="2740" spans="1:28" s="58" customFormat="1" ht="30" hidden="1" customHeight="1" outlineLevel="1" x14ac:dyDescent="0.4">
      <c r="A2740" s="54"/>
      <c r="B2740" s="48" t="s">
        <v>461</v>
      </c>
      <c r="C2740" s="49" t="s">
        <v>14</v>
      </c>
      <c r="D2740" s="68">
        <f>4*248.7/1000</f>
        <v>0.99479999999999991</v>
      </c>
      <c r="E2740" s="56">
        <v>1.6</v>
      </c>
      <c r="F2740" s="57"/>
    </row>
    <row r="2741" spans="1:28" ht="31" hidden="1" customHeight="1" outlineLevel="1" x14ac:dyDescent="0.35">
      <c r="A2741" s="74"/>
      <c r="B2741" s="48" t="s">
        <v>65</v>
      </c>
      <c r="C2741" s="49" t="s">
        <v>19</v>
      </c>
      <c r="D2741" s="68">
        <f>47.91</f>
        <v>47.91</v>
      </c>
      <c r="E2741" s="69"/>
      <c r="F2741" s="42"/>
    </row>
    <row r="2742" spans="1:28" s="39" customFormat="1" ht="21" customHeight="1" collapsed="1" x14ac:dyDescent="0.35">
      <c r="A2742" s="158" t="s">
        <v>953</v>
      </c>
      <c r="B2742" s="158"/>
      <c r="C2742" s="158"/>
      <c r="D2742" s="158"/>
      <c r="E2742" s="158"/>
      <c r="F2742" s="34"/>
      <c r="G2742" s="35"/>
      <c r="H2742" s="36"/>
      <c r="I2742" s="37"/>
      <c r="J2742" s="37"/>
      <c r="K2742" s="38"/>
      <c r="L2742" s="38"/>
      <c r="M2742" s="38"/>
      <c r="N2742" s="36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</row>
    <row r="2743" spans="1:28" s="39" customFormat="1" ht="21" customHeight="1" x14ac:dyDescent="0.35">
      <c r="A2743" s="154" t="s">
        <v>954</v>
      </c>
      <c r="B2743" s="154"/>
      <c r="C2743" s="154"/>
      <c r="D2743" s="154"/>
      <c r="E2743" s="154"/>
      <c r="F2743" s="34"/>
      <c r="G2743" s="35"/>
      <c r="H2743" s="36"/>
      <c r="I2743" s="37"/>
      <c r="J2743" s="37"/>
      <c r="K2743" s="38"/>
      <c r="L2743" s="38"/>
      <c r="M2743" s="38"/>
      <c r="N2743" s="36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</row>
    <row r="2744" spans="1:28" s="39" customFormat="1" ht="36" customHeight="1" x14ac:dyDescent="0.35">
      <c r="A2744" s="24">
        <f>A2739+1</f>
        <v>1162</v>
      </c>
      <c r="B2744" s="25" t="s">
        <v>119</v>
      </c>
      <c r="C2744" s="26" t="s">
        <v>67</v>
      </c>
      <c r="D2744" s="40" t="s">
        <v>955</v>
      </c>
      <c r="E2744" s="64"/>
      <c r="F2744" s="34"/>
      <c r="G2744" s="35"/>
      <c r="H2744" s="36"/>
      <c r="I2744" s="37"/>
      <c r="J2744" s="37"/>
      <c r="K2744" s="38"/>
      <c r="L2744" s="38"/>
      <c r="M2744" s="38"/>
      <c r="N2744" s="36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</row>
    <row r="2745" spans="1:28" s="58" customFormat="1" ht="30" hidden="1" customHeight="1" outlineLevel="1" x14ac:dyDescent="0.4">
      <c r="A2745" s="54"/>
      <c r="B2745" s="48" t="s">
        <v>471</v>
      </c>
      <c r="C2745" s="49" t="s">
        <v>14</v>
      </c>
      <c r="D2745" s="65">
        <f>25*8.38/1000</f>
        <v>0.20950000000000002</v>
      </c>
      <c r="E2745" s="51"/>
      <c r="F2745" s="57"/>
    </row>
    <row r="2746" spans="1:28" s="58" customFormat="1" ht="30" hidden="1" customHeight="1" outlineLevel="1" x14ac:dyDescent="0.4">
      <c r="A2746" s="54"/>
      <c r="B2746" s="48" t="s">
        <v>185</v>
      </c>
      <c r="C2746" s="49" t="s">
        <v>14</v>
      </c>
      <c r="D2746" s="65">
        <f>(2.52+2)*44/1000</f>
        <v>0.19888</v>
      </c>
      <c r="E2746" s="51"/>
      <c r="F2746" s="57"/>
    </row>
    <row r="2747" spans="1:28" s="58" customFormat="1" ht="30" customHeight="1" collapsed="1" x14ac:dyDescent="0.4">
      <c r="A2747" s="24">
        <f>A2744+1</f>
        <v>1163</v>
      </c>
      <c r="B2747" s="59" t="s">
        <v>472</v>
      </c>
      <c r="C2747" s="26" t="s">
        <v>67</v>
      </c>
      <c r="D2747" s="85" t="s">
        <v>956</v>
      </c>
      <c r="E2747" s="66"/>
      <c r="F2747" s="57"/>
    </row>
    <row r="2748" spans="1:28" s="58" customFormat="1" ht="30" hidden="1" customHeight="1" outlineLevel="1" x14ac:dyDescent="0.4">
      <c r="A2748" s="54"/>
      <c r="B2748" s="48" t="s">
        <v>474</v>
      </c>
      <c r="C2748" s="49" t="s">
        <v>58</v>
      </c>
      <c r="D2748" s="55">
        <v>44</v>
      </c>
      <c r="E2748" s="51">
        <v>0.46500000000000002</v>
      </c>
      <c r="F2748" s="57"/>
    </row>
    <row r="2749" spans="1:28" ht="36" customHeight="1" collapsed="1" x14ac:dyDescent="0.35">
      <c r="A2749" s="24">
        <f>A2747+1</f>
        <v>1164</v>
      </c>
      <c r="B2749" s="59" t="s">
        <v>72</v>
      </c>
      <c r="C2749" s="26" t="s">
        <v>29</v>
      </c>
      <c r="D2749" s="67">
        <f>((0.089*3.14*25)+(0.2*0.2*2*44)+(0.08*0.1*2*44))</f>
        <v>11.2105</v>
      </c>
      <c r="E2749" s="41"/>
      <c r="F2749" s="42"/>
    </row>
    <row r="2750" spans="1:28" s="58" customFormat="1" ht="30" hidden="1" customHeight="1" outlineLevel="1" x14ac:dyDescent="0.4">
      <c r="A2750" s="54"/>
      <c r="B2750" s="48" t="s">
        <v>73</v>
      </c>
      <c r="C2750" s="49" t="s">
        <v>74</v>
      </c>
      <c r="D2750" s="68">
        <f>3.31*D2749</f>
        <v>37.106755</v>
      </c>
      <c r="E2750" s="69">
        <v>3.6999999999999998E-2</v>
      </c>
      <c r="F2750" s="57"/>
    </row>
    <row r="2751" spans="1:28" ht="36" customHeight="1" collapsed="1" x14ac:dyDescent="0.35">
      <c r="A2751" s="24">
        <f>A2749+1</f>
        <v>1165</v>
      </c>
      <c r="B2751" s="59" t="s">
        <v>75</v>
      </c>
      <c r="C2751" s="26" t="s">
        <v>29</v>
      </c>
      <c r="D2751" s="67">
        <f>((0.089*3.14*25)+(0.2*0.2*2*44)+(0.08*0.1*2*44))</f>
        <v>11.2105</v>
      </c>
      <c r="E2751" s="41"/>
      <c r="F2751" s="42"/>
    </row>
    <row r="2752" spans="1:28" ht="36" customHeight="1" x14ac:dyDescent="0.35">
      <c r="A2752" s="24">
        <f>A2751+1</f>
        <v>1166</v>
      </c>
      <c r="B2752" s="59" t="s">
        <v>76</v>
      </c>
      <c r="C2752" s="26" t="s">
        <v>29</v>
      </c>
      <c r="D2752" s="67">
        <f>((0.089*3.14*25)+(0.2*0.2*2*44)+(0.08*0.1*2*44))</f>
        <v>11.2105</v>
      </c>
      <c r="E2752" s="41"/>
      <c r="F2752" s="42"/>
    </row>
    <row r="2753" spans="1:28" s="58" customFormat="1" ht="30" customHeight="1" x14ac:dyDescent="0.4">
      <c r="A2753" s="24">
        <f>A2752+1</f>
        <v>1167</v>
      </c>
      <c r="B2753" s="59" t="s">
        <v>77</v>
      </c>
      <c r="C2753" s="70" t="s">
        <v>29</v>
      </c>
      <c r="D2753" s="67">
        <f>((0.089*3.14*25)+(0.2*0.2*2*44)+(0.08*0.1*2*44))</f>
        <v>11.2105</v>
      </c>
      <c r="E2753" s="66"/>
      <c r="F2753" s="57"/>
    </row>
    <row r="2754" spans="1:28" s="58" customFormat="1" ht="30" hidden="1" customHeight="1" outlineLevel="1" x14ac:dyDescent="0.4">
      <c r="A2754" s="54"/>
      <c r="B2754" s="48" t="s">
        <v>78</v>
      </c>
      <c r="C2754" s="49" t="s">
        <v>74</v>
      </c>
      <c r="D2754" s="68">
        <f>D2753*0.255</f>
        <v>2.8586774999999998</v>
      </c>
      <c r="E2754" s="69">
        <v>3.0000000000000001E-3</v>
      </c>
      <c r="F2754" s="57"/>
    </row>
    <row r="2755" spans="1:28" s="58" customFormat="1" ht="30" customHeight="1" collapsed="1" x14ac:dyDescent="0.4">
      <c r="A2755" s="24">
        <f>A2753+1</f>
        <v>1168</v>
      </c>
      <c r="B2755" s="59" t="s">
        <v>79</v>
      </c>
      <c r="C2755" s="70" t="s">
        <v>29</v>
      </c>
      <c r="D2755" s="67">
        <f>((0.089*3.14*25)+(0.2*0.2*2*44)+(0.08*0.1*2*44))</f>
        <v>11.2105</v>
      </c>
      <c r="E2755" s="66"/>
      <c r="F2755" s="57"/>
    </row>
    <row r="2756" spans="1:28" s="58" customFormat="1" ht="30" hidden="1" customHeight="1" outlineLevel="1" x14ac:dyDescent="0.4">
      <c r="A2756" s="54"/>
      <c r="B2756" s="48" t="s">
        <v>80</v>
      </c>
      <c r="C2756" s="49" t="s">
        <v>74</v>
      </c>
      <c r="D2756" s="68">
        <f>D2755*0.36*2</f>
        <v>8.0715599999999998</v>
      </c>
      <c r="E2756" s="69">
        <v>8.0000000000000002E-3</v>
      </c>
      <c r="F2756" s="57"/>
    </row>
    <row r="2757" spans="1:28" s="39" customFormat="1" ht="21" customHeight="1" collapsed="1" x14ac:dyDescent="0.35">
      <c r="A2757" s="154" t="s">
        <v>957</v>
      </c>
      <c r="B2757" s="154"/>
      <c r="C2757" s="154"/>
      <c r="D2757" s="154"/>
      <c r="E2757" s="154"/>
      <c r="F2757" s="34"/>
      <c r="G2757" s="35"/>
      <c r="H2757" s="36"/>
      <c r="I2757" s="37"/>
      <c r="J2757" s="37"/>
      <c r="K2757" s="38"/>
      <c r="L2757" s="38"/>
      <c r="M2757" s="38"/>
      <c r="N2757" s="36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</row>
    <row r="2758" spans="1:28" s="58" customFormat="1" ht="30" customHeight="1" x14ac:dyDescent="0.4">
      <c r="A2758" s="24">
        <f>A2755+1</f>
        <v>1169</v>
      </c>
      <c r="B2758" s="59" t="s">
        <v>472</v>
      </c>
      <c r="C2758" s="26" t="s">
        <v>67</v>
      </c>
      <c r="D2758" s="85" t="s">
        <v>958</v>
      </c>
      <c r="E2758" s="66"/>
      <c r="F2758" s="57"/>
    </row>
    <row r="2759" spans="1:28" s="58" customFormat="1" ht="30" hidden="1" customHeight="1" outlineLevel="1" x14ac:dyDescent="0.4">
      <c r="A2759" s="54"/>
      <c r="B2759" s="48" t="s">
        <v>140</v>
      </c>
      <c r="C2759" s="49" t="s">
        <v>58</v>
      </c>
      <c r="D2759" s="55">
        <v>8</v>
      </c>
      <c r="E2759" s="51">
        <v>2.8000000000000001E-2</v>
      </c>
      <c r="F2759" s="57"/>
    </row>
    <row r="2760" spans="1:28" ht="36" customHeight="1" collapsed="1" x14ac:dyDescent="0.35">
      <c r="A2760" s="24">
        <f>A2758+1</f>
        <v>1170</v>
      </c>
      <c r="B2760" s="59" t="s">
        <v>72</v>
      </c>
      <c r="C2760" s="26" t="s">
        <v>29</v>
      </c>
      <c r="D2760" s="67">
        <f>(0.2*0.2*8)</f>
        <v>0.32000000000000006</v>
      </c>
      <c r="E2760" s="41"/>
      <c r="F2760" s="42"/>
    </row>
    <row r="2761" spans="1:28" s="58" customFormat="1" ht="30" hidden="1" customHeight="1" outlineLevel="1" x14ac:dyDescent="0.4">
      <c r="A2761" s="54"/>
      <c r="B2761" s="48" t="s">
        <v>73</v>
      </c>
      <c r="C2761" s="49" t="s">
        <v>74</v>
      </c>
      <c r="D2761" s="68">
        <f>3.31*D2760</f>
        <v>1.0592000000000001</v>
      </c>
      <c r="E2761" s="69">
        <v>1E-3</v>
      </c>
      <c r="F2761" s="57"/>
    </row>
    <row r="2762" spans="1:28" ht="36" customHeight="1" collapsed="1" x14ac:dyDescent="0.35">
      <c r="A2762" s="24">
        <f>A2760+1</f>
        <v>1171</v>
      </c>
      <c r="B2762" s="59" t="s">
        <v>75</v>
      </c>
      <c r="C2762" s="26" t="s">
        <v>29</v>
      </c>
      <c r="D2762" s="67">
        <f>(0.2*0.2*8)</f>
        <v>0.32000000000000006</v>
      </c>
      <c r="E2762" s="41"/>
      <c r="F2762" s="42"/>
    </row>
    <row r="2763" spans="1:28" ht="36" customHeight="1" x14ac:dyDescent="0.35">
      <c r="A2763" s="24">
        <f>A2762+1</f>
        <v>1172</v>
      </c>
      <c r="B2763" s="59" t="s">
        <v>76</v>
      </c>
      <c r="C2763" s="26" t="s">
        <v>29</v>
      </c>
      <c r="D2763" s="67">
        <f>(0.2*0.2*8)</f>
        <v>0.32000000000000006</v>
      </c>
      <c r="E2763" s="41"/>
      <c r="F2763" s="42"/>
    </row>
    <row r="2764" spans="1:28" s="58" customFormat="1" ht="30" customHeight="1" x14ac:dyDescent="0.4">
      <c r="A2764" s="24">
        <f>A2763+1</f>
        <v>1173</v>
      </c>
      <c r="B2764" s="59" t="s">
        <v>77</v>
      </c>
      <c r="C2764" s="70" t="s">
        <v>29</v>
      </c>
      <c r="D2764" s="67">
        <f>(0.2*0.2*8)</f>
        <v>0.32000000000000006</v>
      </c>
      <c r="E2764" s="66"/>
      <c r="F2764" s="57"/>
    </row>
    <row r="2765" spans="1:28" s="58" customFormat="1" ht="30" hidden="1" customHeight="1" outlineLevel="1" x14ac:dyDescent="0.4">
      <c r="A2765" s="54"/>
      <c r="B2765" s="48" t="s">
        <v>78</v>
      </c>
      <c r="C2765" s="49" t="s">
        <v>74</v>
      </c>
      <c r="D2765" s="68">
        <f>D2764*0.255</f>
        <v>8.160000000000002E-2</v>
      </c>
      <c r="E2765" s="69">
        <v>1E-3</v>
      </c>
      <c r="F2765" s="57"/>
    </row>
    <row r="2766" spans="1:28" s="58" customFormat="1" ht="30" customHeight="1" collapsed="1" x14ac:dyDescent="0.4">
      <c r="A2766" s="24">
        <f>A2764+1</f>
        <v>1174</v>
      </c>
      <c r="B2766" s="59" t="s">
        <v>79</v>
      </c>
      <c r="C2766" s="70" t="s">
        <v>29</v>
      </c>
      <c r="D2766" s="67">
        <f>(0.2*0.2*8)</f>
        <v>0.32000000000000006</v>
      </c>
      <c r="E2766" s="66"/>
      <c r="F2766" s="57"/>
    </row>
    <row r="2767" spans="1:28" s="58" customFormat="1" ht="30" hidden="1" customHeight="1" outlineLevel="1" x14ac:dyDescent="0.4">
      <c r="A2767" s="54"/>
      <c r="B2767" s="48" t="s">
        <v>80</v>
      </c>
      <c r="C2767" s="49" t="s">
        <v>74</v>
      </c>
      <c r="D2767" s="68">
        <f>D2766*0.36*2</f>
        <v>0.23040000000000005</v>
      </c>
      <c r="E2767" s="69"/>
      <c r="F2767" s="57"/>
    </row>
    <row r="2768" spans="1:28" s="39" customFormat="1" ht="21" customHeight="1" collapsed="1" x14ac:dyDescent="0.35">
      <c r="A2768" s="154" t="s">
        <v>959</v>
      </c>
      <c r="B2768" s="154"/>
      <c r="C2768" s="154"/>
      <c r="D2768" s="154"/>
      <c r="E2768" s="154"/>
      <c r="F2768" s="34"/>
      <c r="G2768" s="35"/>
      <c r="H2768" s="36"/>
      <c r="I2768" s="37"/>
      <c r="J2768" s="37"/>
      <c r="K2768" s="38"/>
      <c r="L2768" s="38"/>
      <c r="M2768" s="38"/>
      <c r="N2768" s="36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</row>
    <row r="2769" spans="1:28" s="39" customFormat="1" ht="36" customHeight="1" x14ac:dyDescent="0.35">
      <c r="A2769" s="24">
        <f>A2766+1</f>
        <v>1175</v>
      </c>
      <c r="B2769" s="25" t="s">
        <v>136</v>
      </c>
      <c r="C2769" s="26" t="s">
        <v>19</v>
      </c>
      <c r="D2769" s="40">
        <f>0.1*6</f>
        <v>0.60000000000000009</v>
      </c>
      <c r="E2769" s="64"/>
      <c r="F2769" s="34"/>
      <c r="G2769" s="35"/>
      <c r="H2769" s="36"/>
      <c r="I2769" s="37"/>
      <c r="J2769" s="37"/>
      <c r="K2769" s="38"/>
      <c r="L2769" s="38"/>
      <c r="M2769" s="38"/>
      <c r="N2769" s="36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</row>
    <row r="2770" spans="1:28" ht="34.5" hidden="1" customHeight="1" outlineLevel="1" x14ac:dyDescent="0.35">
      <c r="A2770" s="47"/>
      <c r="B2770" s="48" t="s">
        <v>134</v>
      </c>
      <c r="C2770" s="75" t="s">
        <v>19</v>
      </c>
      <c r="D2770" s="50">
        <f>0.6</f>
        <v>0.6</v>
      </c>
      <c r="E2770" s="76"/>
      <c r="F2770" s="42"/>
    </row>
    <row r="2771" spans="1:28" ht="33" customHeight="1" collapsed="1" x14ac:dyDescent="0.35">
      <c r="A2771" s="24">
        <f>A2769+1</f>
        <v>1176</v>
      </c>
      <c r="B2771" s="25" t="s">
        <v>64</v>
      </c>
      <c r="C2771" s="26" t="s">
        <v>19</v>
      </c>
      <c r="D2771" s="67">
        <f>0.42*6</f>
        <v>2.52</v>
      </c>
      <c r="E2771" s="41"/>
      <c r="F2771" s="53"/>
    </row>
    <row r="2772" spans="1:28" ht="34.5" hidden="1" customHeight="1" outlineLevel="1" x14ac:dyDescent="0.35">
      <c r="A2772" s="47"/>
      <c r="B2772" s="48" t="s">
        <v>137</v>
      </c>
      <c r="C2772" s="75" t="s">
        <v>14</v>
      </c>
      <c r="D2772" s="77">
        <f>6.66*6/1000*1.1</f>
        <v>4.3956000000000009E-2</v>
      </c>
      <c r="E2772" s="78"/>
      <c r="F2772" s="42"/>
    </row>
    <row r="2773" spans="1:28" s="58" customFormat="1" ht="30" hidden="1" customHeight="1" outlineLevel="1" x14ac:dyDescent="0.4">
      <c r="A2773" s="54"/>
      <c r="B2773" s="48" t="s">
        <v>65</v>
      </c>
      <c r="C2773" s="49" t="s">
        <v>19</v>
      </c>
      <c r="D2773" s="50">
        <f>0.42*6</f>
        <v>2.52</v>
      </c>
      <c r="E2773" s="51"/>
      <c r="F2773" s="57"/>
    </row>
    <row r="2774" spans="1:28" s="58" customFormat="1" ht="30" customHeight="1" collapsed="1" x14ac:dyDescent="0.4">
      <c r="A2774" s="24">
        <f>A2771+1</f>
        <v>1177</v>
      </c>
      <c r="B2774" s="59" t="s">
        <v>138</v>
      </c>
      <c r="C2774" s="70" t="s">
        <v>67</v>
      </c>
      <c r="D2774" s="40" t="s">
        <v>478</v>
      </c>
      <c r="E2774" s="66"/>
      <c r="F2774" s="57"/>
    </row>
    <row r="2775" spans="1:28" s="58" customFormat="1" ht="30" hidden="1" customHeight="1" outlineLevel="1" x14ac:dyDescent="0.4">
      <c r="A2775" s="54"/>
      <c r="B2775" s="48" t="s">
        <v>140</v>
      </c>
      <c r="C2775" s="49" t="s">
        <v>58</v>
      </c>
      <c r="D2775" s="55">
        <v>6</v>
      </c>
      <c r="E2775" s="51">
        <v>2.1000000000000001E-2</v>
      </c>
      <c r="F2775" s="57"/>
    </row>
    <row r="2776" spans="1:28" s="39" customFormat="1" ht="36" customHeight="1" collapsed="1" x14ac:dyDescent="0.35">
      <c r="A2776" s="24">
        <f>A2774+1</f>
        <v>1178</v>
      </c>
      <c r="B2776" s="25" t="s">
        <v>66</v>
      </c>
      <c r="C2776" s="26" t="s">
        <v>67</v>
      </c>
      <c r="D2776" s="106" t="s">
        <v>479</v>
      </c>
      <c r="E2776" s="64"/>
      <c r="F2776" s="34"/>
      <c r="G2776" s="35"/>
      <c r="H2776" s="36"/>
      <c r="I2776" s="37"/>
      <c r="J2776" s="37"/>
      <c r="K2776" s="38"/>
      <c r="L2776" s="38"/>
      <c r="M2776" s="38"/>
      <c r="N2776" s="36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</row>
    <row r="2777" spans="1:28" s="58" customFormat="1" ht="30" hidden="1" customHeight="1" outlineLevel="1" x14ac:dyDescent="0.4">
      <c r="A2777" s="54"/>
      <c r="B2777" s="48" t="s">
        <v>480</v>
      </c>
      <c r="C2777" s="49" t="s">
        <v>14</v>
      </c>
      <c r="D2777" s="65">
        <f>30.1*6/1000</f>
        <v>0.18060000000000001</v>
      </c>
      <c r="E2777" s="51"/>
      <c r="F2777" s="57"/>
    </row>
    <row r="2778" spans="1:28" s="58" customFormat="1" ht="30" hidden="1" customHeight="1" outlineLevel="1" x14ac:dyDescent="0.4">
      <c r="A2778" s="54"/>
      <c r="B2778" s="48" t="s">
        <v>185</v>
      </c>
      <c r="C2778" s="49" t="s">
        <v>14</v>
      </c>
      <c r="D2778" s="65">
        <f>(5.66+1.76)*6/1000</f>
        <v>4.4519999999999997E-2</v>
      </c>
      <c r="E2778" s="51"/>
      <c r="F2778" s="57"/>
    </row>
    <row r="2779" spans="1:28" s="58" customFormat="1" ht="30" customHeight="1" collapsed="1" x14ac:dyDescent="0.4">
      <c r="A2779" s="24">
        <f>A2776+1</f>
        <v>1179</v>
      </c>
      <c r="B2779" s="59" t="s">
        <v>71</v>
      </c>
      <c r="C2779" s="26" t="s">
        <v>67</v>
      </c>
      <c r="D2779" s="106" t="s">
        <v>479</v>
      </c>
      <c r="E2779" s="66"/>
      <c r="F2779" s="57"/>
    </row>
    <row r="2780" spans="1:28" ht="36" customHeight="1" x14ac:dyDescent="0.35">
      <c r="A2780" s="24">
        <f>A2779+1</f>
        <v>1180</v>
      </c>
      <c r="B2780" s="59" t="s">
        <v>72</v>
      </c>
      <c r="C2780" s="26" t="s">
        <v>29</v>
      </c>
      <c r="D2780" s="67">
        <f>((0.159*3.14*3.6*6)+(0.3*0.3*6*2)+(0.1*0.07*2*6))</f>
        <v>11.948016000000001</v>
      </c>
      <c r="E2780" s="41"/>
      <c r="F2780" s="42"/>
    </row>
    <row r="2781" spans="1:28" s="58" customFormat="1" ht="30" hidden="1" customHeight="1" outlineLevel="1" x14ac:dyDescent="0.4">
      <c r="A2781" s="54"/>
      <c r="B2781" s="48" t="s">
        <v>73</v>
      </c>
      <c r="C2781" s="49" t="s">
        <v>74</v>
      </c>
      <c r="D2781" s="68">
        <f>3.31*D2780</f>
        <v>39.547932960000004</v>
      </c>
      <c r="E2781" s="69">
        <v>0.04</v>
      </c>
      <c r="F2781" s="57"/>
    </row>
    <row r="2782" spans="1:28" ht="36" customHeight="1" collapsed="1" x14ac:dyDescent="0.35">
      <c r="A2782" s="24">
        <f>A2780+1</f>
        <v>1181</v>
      </c>
      <c r="B2782" s="59" t="s">
        <v>75</v>
      </c>
      <c r="C2782" s="26" t="s">
        <v>29</v>
      </c>
      <c r="D2782" s="67">
        <f>((0.159*3.14*3.6*6)+(0.3*0.3*6*2)+(0.1*0.07*2*6))</f>
        <v>11.948016000000001</v>
      </c>
      <c r="E2782" s="41"/>
      <c r="F2782" s="42"/>
    </row>
    <row r="2783" spans="1:28" ht="36" customHeight="1" x14ac:dyDescent="0.35">
      <c r="A2783" s="24">
        <f>A2782+1</f>
        <v>1182</v>
      </c>
      <c r="B2783" s="59" t="s">
        <v>76</v>
      </c>
      <c r="C2783" s="26" t="s">
        <v>29</v>
      </c>
      <c r="D2783" s="67">
        <f>((0.159*3.14*3.6*6)+(0.3*0.3*6*2)+(0.1*0.07*2*6))</f>
        <v>11.948016000000001</v>
      </c>
      <c r="E2783" s="41"/>
      <c r="F2783" s="42"/>
    </row>
    <row r="2784" spans="1:28" s="58" customFormat="1" ht="30" customHeight="1" x14ac:dyDescent="0.4">
      <c r="A2784" s="24">
        <f>A2783+1</f>
        <v>1183</v>
      </c>
      <c r="B2784" s="59" t="s">
        <v>77</v>
      </c>
      <c r="C2784" s="70" t="s">
        <v>29</v>
      </c>
      <c r="D2784" s="67">
        <f>((0.159*3.14*3.6*6)+(0.3*0.3*6*2)+(0.1*0.07*2*6))</f>
        <v>11.948016000000001</v>
      </c>
      <c r="E2784" s="66"/>
      <c r="F2784" s="57"/>
    </row>
    <row r="2785" spans="1:28" s="58" customFormat="1" ht="30" hidden="1" customHeight="1" outlineLevel="1" x14ac:dyDescent="0.4">
      <c r="A2785" s="54"/>
      <c r="B2785" s="48" t="s">
        <v>78</v>
      </c>
      <c r="C2785" s="49" t="s">
        <v>74</v>
      </c>
      <c r="D2785" s="68">
        <f>D2784*0.255</f>
        <v>3.0467440800000003</v>
      </c>
      <c r="E2785" s="69">
        <v>3.0000000000000001E-3</v>
      </c>
      <c r="F2785" s="57"/>
    </row>
    <row r="2786" spans="1:28" s="58" customFormat="1" ht="30" customHeight="1" collapsed="1" x14ac:dyDescent="0.4">
      <c r="A2786" s="24">
        <f>A2784+1</f>
        <v>1184</v>
      </c>
      <c r="B2786" s="59" t="s">
        <v>79</v>
      </c>
      <c r="C2786" s="70" t="s">
        <v>29</v>
      </c>
      <c r="D2786" s="67">
        <f>((0.159*3.14*3.6*6)+(0.3*0.3*6*2)+(0.1*0.07*2*6))</f>
        <v>11.948016000000001</v>
      </c>
      <c r="E2786" s="66"/>
      <c r="F2786" s="57"/>
    </row>
    <row r="2787" spans="1:28" s="58" customFormat="1" ht="30" hidden="1" customHeight="1" outlineLevel="1" x14ac:dyDescent="0.4">
      <c r="A2787" s="54"/>
      <c r="B2787" s="48" t="s">
        <v>80</v>
      </c>
      <c r="C2787" s="49" t="s">
        <v>74</v>
      </c>
      <c r="D2787" s="68">
        <f>D2786*0.36*2</f>
        <v>8.6025715199999997</v>
      </c>
      <c r="E2787" s="69">
        <v>8.9999999999999993E-3</v>
      </c>
      <c r="F2787" s="57"/>
    </row>
    <row r="2788" spans="1:28" s="39" customFormat="1" ht="21" customHeight="1" collapsed="1" x14ac:dyDescent="0.35">
      <c r="A2788" s="154" t="s">
        <v>483</v>
      </c>
      <c r="B2788" s="154"/>
      <c r="C2788" s="154"/>
      <c r="D2788" s="154"/>
      <c r="E2788" s="154"/>
      <c r="F2788" s="34"/>
      <c r="G2788" s="35"/>
      <c r="H2788" s="36"/>
      <c r="I2788" s="37"/>
      <c r="J2788" s="37"/>
      <c r="K2788" s="38"/>
      <c r="L2788" s="38"/>
      <c r="M2788" s="38"/>
      <c r="N2788" s="36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</row>
    <row r="2789" spans="1:28" s="39" customFormat="1" ht="21" customHeight="1" x14ac:dyDescent="0.35">
      <c r="A2789" s="158" t="s">
        <v>960</v>
      </c>
      <c r="B2789" s="158"/>
      <c r="C2789" s="158"/>
      <c r="D2789" s="158"/>
      <c r="E2789" s="158"/>
      <c r="F2789" s="34"/>
      <c r="G2789" s="35"/>
      <c r="H2789" s="36"/>
      <c r="I2789" s="37"/>
      <c r="J2789" s="37"/>
      <c r="K2789" s="38"/>
      <c r="L2789" s="38"/>
      <c r="M2789" s="38"/>
      <c r="N2789" s="36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</row>
    <row r="2790" spans="1:28" s="58" customFormat="1" ht="30" customHeight="1" x14ac:dyDescent="0.4">
      <c r="A2790" s="24">
        <f>A2786+1</f>
        <v>1185</v>
      </c>
      <c r="B2790" s="83" t="s">
        <v>485</v>
      </c>
      <c r="C2790" s="84" t="s">
        <v>14</v>
      </c>
      <c r="D2790" s="107">
        <f>(43.06+113.34+18.72+18.04+53.08+27.39+13.27+3.39+20.36+16.59+40.41+16.48+30.14+8.08+26.4)/1000</f>
        <v>0.44874999999999993</v>
      </c>
      <c r="E2790" s="66"/>
      <c r="F2790" s="57"/>
    </row>
    <row r="2791" spans="1:28" s="58" customFormat="1" ht="30" hidden="1" customHeight="1" outlineLevel="1" x14ac:dyDescent="0.4">
      <c r="A2791" s="54"/>
      <c r="B2791" s="48" t="s">
        <v>486</v>
      </c>
      <c r="C2791" s="49" t="s">
        <v>58</v>
      </c>
      <c r="D2791" s="55">
        <v>1</v>
      </c>
      <c r="E2791" s="69">
        <v>1E-3</v>
      </c>
      <c r="F2791" s="57"/>
    </row>
    <row r="2792" spans="1:28" ht="36" customHeight="1" collapsed="1" x14ac:dyDescent="0.35">
      <c r="A2792" s="24">
        <f>A2790+1</f>
        <v>1186</v>
      </c>
      <c r="B2792" s="59" t="s">
        <v>72</v>
      </c>
      <c r="C2792" s="26" t="s">
        <v>29</v>
      </c>
      <c r="D2792" s="104">
        <f>((43.06+113.34+18.72+18.04+53.08+27.39+13.27+3.39+20.36+16.59+40.41+16.48+30.14+8.08+26.4)/1000*26)+3.34+2.2</f>
        <v>17.2075</v>
      </c>
      <c r="E2792" s="41"/>
      <c r="F2792" s="42"/>
    </row>
    <row r="2793" spans="1:28" s="58" customFormat="1" ht="30" hidden="1" customHeight="1" outlineLevel="1" x14ac:dyDescent="0.4">
      <c r="A2793" s="54"/>
      <c r="B2793" s="48" t="s">
        <v>73</v>
      </c>
      <c r="C2793" s="49" t="s">
        <v>74</v>
      </c>
      <c r="D2793" s="68">
        <f>3.31*D2792</f>
        <v>56.956825000000002</v>
      </c>
      <c r="E2793" s="69">
        <v>5.7000000000000002E-2</v>
      </c>
      <c r="F2793" s="57"/>
    </row>
    <row r="2794" spans="1:28" ht="36" customHeight="1" collapsed="1" x14ac:dyDescent="0.35">
      <c r="A2794" s="24">
        <f>A2792+1</f>
        <v>1187</v>
      </c>
      <c r="B2794" s="59" t="s">
        <v>75</v>
      </c>
      <c r="C2794" s="26" t="s">
        <v>29</v>
      </c>
      <c r="D2794" s="104">
        <f>((43.06+113.34+18.72+18.04+53.08+27.39+13.27+3.39+20.36+16.59+40.41+16.48+30.14+8.08+26.4)/1000*26)+3.34+2.2</f>
        <v>17.2075</v>
      </c>
      <c r="E2794" s="41"/>
      <c r="F2794" s="42"/>
    </row>
    <row r="2795" spans="1:28" ht="36" customHeight="1" x14ac:dyDescent="0.35">
      <c r="A2795" s="24">
        <f>A2794+1</f>
        <v>1188</v>
      </c>
      <c r="B2795" s="59" t="s">
        <v>76</v>
      </c>
      <c r="C2795" s="26" t="s">
        <v>29</v>
      </c>
      <c r="D2795" s="104">
        <f>((43.06+113.34+18.72+18.04+53.08+27.39+13.27+3.39+20.36+16.59+40.41+16.48+30.14+8.08+26.4)/1000*26)+3.34+2.2</f>
        <v>17.2075</v>
      </c>
      <c r="E2795" s="41"/>
      <c r="F2795" s="42"/>
    </row>
    <row r="2796" spans="1:28" s="58" customFormat="1" ht="30" customHeight="1" x14ac:dyDescent="0.4">
      <c r="A2796" s="24">
        <f>A2795+1</f>
        <v>1189</v>
      </c>
      <c r="B2796" s="59" t="s">
        <v>77</v>
      </c>
      <c r="C2796" s="70" t="s">
        <v>29</v>
      </c>
      <c r="D2796" s="104">
        <f>((43.06+113.34+18.72+18.04+53.08+27.39+13.27+3.39+20.36+16.59+40.41+16.48+30.14+8.08+26.4)/1000*26)+3.34+2.2</f>
        <v>17.2075</v>
      </c>
      <c r="E2796" s="66"/>
      <c r="F2796" s="57"/>
    </row>
    <row r="2797" spans="1:28" s="58" customFormat="1" ht="30" hidden="1" customHeight="1" outlineLevel="1" x14ac:dyDescent="0.4">
      <c r="A2797" s="54"/>
      <c r="B2797" s="48" t="s">
        <v>78</v>
      </c>
      <c r="C2797" s="49" t="s">
        <v>74</v>
      </c>
      <c r="D2797" s="68">
        <f>D2796*0.255</f>
        <v>4.3879124999999997</v>
      </c>
      <c r="E2797" s="69">
        <v>4.0000000000000001E-3</v>
      </c>
      <c r="F2797" s="57"/>
    </row>
    <row r="2798" spans="1:28" s="58" customFormat="1" ht="30" customHeight="1" collapsed="1" x14ac:dyDescent="0.4">
      <c r="A2798" s="24">
        <f>A2796+1</f>
        <v>1190</v>
      </c>
      <c r="B2798" s="59" t="s">
        <v>79</v>
      </c>
      <c r="C2798" s="70" t="s">
        <v>29</v>
      </c>
      <c r="D2798" s="104">
        <f>((43.06+113.34+18.72+18.04+53.08+27.39+13.27+3.39+20.36+16.59+40.41+16.48+30.14+8.08+26.4)/1000*26)+3.34+2.2</f>
        <v>17.2075</v>
      </c>
      <c r="E2798" s="66"/>
      <c r="F2798" s="57"/>
    </row>
    <row r="2799" spans="1:28" s="58" customFormat="1" ht="30" hidden="1" customHeight="1" outlineLevel="1" x14ac:dyDescent="0.4">
      <c r="A2799" s="54"/>
      <c r="B2799" s="48" t="s">
        <v>80</v>
      </c>
      <c r="C2799" s="49" t="s">
        <v>74</v>
      </c>
      <c r="D2799" s="68">
        <f>D2798*0.36*2</f>
        <v>12.389399999999998</v>
      </c>
      <c r="E2799" s="69">
        <v>1.2999999999999999E-2</v>
      </c>
      <c r="F2799" s="57"/>
    </row>
    <row r="2800" spans="1:28" s="39" customFormat="1" ht="21" customHeight="1" collapsed="1" x14ac:dyDescent="0.35">
      <c r="A2800" s="154" t="s">
        <v>487</v>
      </c>
      <c r="B2800" s="154"/>
      <c r="C2800" s="154"/>
      <c r="D2800" s="154"/>
      <c r="E2800" s="154"/>
      <c r="F2800" s="34"/>
      <c r="G2800" s="35"/>
      <c r="H2800" s="36"/>
      <c r="I2800" s="37"/>
      <c r="J2800" s="37"/>
      <c r="K2800" s="38"/>
      <c r="L2800" s="38"/>
      <c r="M2800" s="38"/>
      <c r="N2800" s="36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</row>
    <row r="2801" spans="1:28" s="39" customFormat="1" ht="21" customHeight="1" x14ac:dyDescent="0.35">
      <c r="A2801" s="158" t="s">
        <v>961</v>
      </c>
      <c r="B2801" s="158"/>
      <c r="C2801" s="158"/>
      <c r="D2801" s="158"/>
      <c r="E2801" s="158"/>
      <c r="F2801" s="34"/>
      <c r="G2801" s="35"/>
      <c r="H2801" s="36"/>
      <c r="I2801" s="37"/>
      <c r="J2801" s="37"/>
      <c r="K2801" s="38"/>
      <c r="L2801" s="38"/>
      <c r="M2801" s="38"/>
      <c r="N2801" s="36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</row>
    <row r="2802" spans="1:28" s="58" customFormat="1" ht="30" customHeight="1" x14ac:dyDescent="0.4">
      <c r="A2802" s="24">
        <f>A2798+1</f>
        <v>1191</v>
      </c>
      <c r="B2802" s="83" t="s">
        <v>485</v>
      </c>
      <c r="C2802" s="84" t="s">
        <v>14</v>
      </c>
      <c r="D2802" s="107">
        <f>(61.46+113.34+18.72+26.24+53.08+27.39+13.27+6.79+30.54+16.59+44.18+18.99+34.85+10.1+26.4)/1000</f>
        <v>0.50194000000000005</v>
      </c>
      <c r="E2802" s="66"/>
      <c r="F2802" s="57"/>
    </row>
    <row r="2803" spans="1:28" s="58" customFormat="1" ht="30" hidden="1" customHeight="1" outlineLevel="1" x14ac:dyDescent="0.4">
      <c r="A2803" s="54"/>
      <c r="B2803" s="48" t="s">
        <v>489</v>
      </c>
      <c r="C2803" s="49" t="s">
        <v>58</v>
      </c>
      <c r="D2803" s="55">
        <v>1</v>
      </c>
      <c r="E2803" s="69">
        <v>1E-3</v>
      </c>
      <c r="F2803" s="57"/>
    </row>
    <row r="2804" spans="1:28" ht="36" customHeight="1" collapsed="1" x14ac:dyDescent="0.35">
      <c r="A2804" s="24">
        <f>A2802+1</f>
        <v>1192</v>
      </c>
      <c r="B2804" s="59" t="s">
        <v>72</v>
      </c>
      <c r="C2804" s="26" t="s">
        <v>29</v>
      </c>
      <c r="D2804" s="104">
        <f>((61.46+113.34+18.72+26.24+53.08+27.39+13.27+6.79+30.54+16.59+44.18+18.99+34.85+10.1+26.4)/1000*26)+3.2+2.2</f>
        <v>18.45044</v>
      </c>
      <c r="E2804" s="41"/>
      <c r="F2804" s="42"/>
    </row>
    <row r="2805" spans="1:28" s="58" customFormat="1" ht="30" hidden="1" customHeight="1" outlineLevel="1" x14ac:dyDescent="0.4">
      <c r="A2805" s="54"/>
      <c r="B2805" s="48" t="s">
        <v>73</v>
      </c>
      <c r="C2805" s="49" t="s">
        <v>74</v>
      </c>
      <c r="D2805" s="68">
        <f>3.31*D2804</f>
        <v>61.0709564</v>
      </c>
      <c r="E2805" s="69">
        <v>6.0999999999999999E-2</v>
      </c>
      <c r="F2805" s="57"/>
    </row>
    <row r="2806" spans="1:28" ht="36" customHeight="1" collapsed="1" x14ac:dyDescent="0.35">
      <c r="A2806" s="24">
        <f>A2804+1</f>
        <v>1193</v>
      </c>
      <c r="B2806" s="59" t="s">
        <v>75</v>
      </c>
      <c r="C2806" s="26" t="s">
        <v>29</v>
      </c>
      <c r="D2806" s="104">
        <f>((61.46+113.34+18.72+26.24+53.08+27.39+13.27+6.79+30.54+16.59+44.18+18.99+34.85+10.1+26.4)/1000*26)+3.2+2.2</f>
        <v>18.45044</v>
      </c>
      <c r="E2806" s="41"/>
      <c r="F2806" s="42"/>
    </row>
    <row r="2807" spans="1:28" ht="36" customHeight="1" x14ac:dyDescent="0.35">
      <c r="A2807" s="24">
        <f>A2806+1</f>
        <v>1194</v>
      </c>
      <c r="B2807" s="59" t="s">
        <v>76</v>
      </c>
      <c r="C2807" s="26" t="s">
        <v>29</v>
      </c>
      <c r="D2807" s="104">
        <f>((61.46+113.34+18.72+26.24+53.08+27.39+13.27+6.79+30.54+16.59+44.18+18.99+34.85+10.1+26.4)/1000*26)+3.2+2.2</f>
        <v>18.45044</v>
      </c>
      <c r="E2807" s="41"/>
      <c r="F2807" s="42"/>
    </row>
    <row r="2808" spans="1:28" s="58" customFormat="1" ht="30" customHeight="1" x14ac:dyDescent="0.4">
      <c r="A2808" s="24">
        <f>A2807+1</f>
        <v>1195</v>
      </c>
      <c r="B2808" s="59" t="s">
        <v>77</v>
      </c>
      <c r="C2808" s="70" t="s">
        <v>29</v>
      </c>
      <c r="D2808" s="104">
        <f>((61.46+113.34+18.72+26.24+53.08+27.39+13.27+6.79+30.54+16.59+44.18+18.99+34.85+10.1+26.4)/1000*26)+3.2+2.2</f>
        <v>18.45044</v>
      </c>
      <c r="E2808" s="66"/>
      <c r="F2808" s="57"/>
    </row>
    <row r="2809" spans="1:28" s="58" customFormat="1" ht="30" hidden="1" customHeight="1" outlineLevel="1" x14ac:dyDescent="0.4">
      <c r="A2809" s="54"/>
      <c r="B2809" s="48" t="s">
        <v>78</v>
      </c>
      <c r="C2809" s="49" t="s">
        <v>74</v>
      </c>
      <c r="D2809" s="68">
        <f>D2808*0.255</f>
        <v>4.7048622</v>
      </c>
      <c r="E2809" s="69">
        <v>5.0000000000000001E-3</v>
      </c>
      <c r="F2809" s="57"/>
    </row>
    <row r="2810" spans="1:28" s="58" customFormat="1" ht="30" customHeight="1" collapsed="1" x14ac:dyDescent="0.4">
      <c r="A2810" s="24">
        <f>A2808+1</f>
        <v>1196</v>
      </c>
      <c r="B2810" s="59" t="s">
        <v>79</v>
      </c>
      <c r="C2810" s="70" t="s">
        <v>29</v>
      </c>
      <c r="D2810" s="104">
        <f>((61.46+113.34+18.72+26.24+53.08+27.39+13.27+6.79+30.54+16.59+44.18+18.99+34.85+10.1+26.4)/1000*26)+3.2+2.2</f>
        <v>18.45044</v>
      </c>
      <c r="E2810" s="66"/>
      <c r="F2810" s="57"/>
    </row>
    <row r="2811" spans="1:28" s="58" customFormat="1" ht="30" hidden="1" customHeight="1" outlineLevel="1" x14ac:dyDescent="0.4">
      <c r="A2811" s="54"/>
      <c r="B2811" s="48" t="s">
        <v>80</v>
      </c>
      <c r="C2811" s="49" t="s">
        <v>74</v>
      </c>
      <c r="D2811" s="68">
        <f>D2810*0.36*2</f>
        <v>13.284316799999999</v>
      </c>
      <c r="E2811" s="69">
        <v>1.2999999999999999E-2</v>
      </c>
      <c r="F2811" s="57"/>
    </row>
    <row r="2812" spans="1:28" s="39" customFormat="1" ht="21" customHeight="1" collapsed="1" x14ac:dyDescent="0.35">
      <c r="A2812" s="154" t="s">
        <v>494</v>
      </c>
      <c r="B2812" s="154"/>
      <c r="C2812" s="154"/>
      <c r="D2812" s="154"/>
      <c r="E2812" s="154"/>
      <c r="F2812" s="34"/>
      <c r="G2812" s="35"/>
      <c r="H2812" s="36"/>
      <c r="I2812" s="37"/>
      <c r="J2812" s="37"/>
      <c r="K2812" s="38"/>
      <c r="L2812" s="38"/>
      <c r="M2812" s="38"/>
      <c r="N2812" s="36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</row>
    <row r="2813" spans="1:28" s="39" customFormat="1" ht="21" customHeight="1" x14ac:dyDescent="0.35">
      <c r="A2813" s="158" t="s">
        <v>962</v>
      </c>
      <c r="B2813" s="158"/>
      <c r="C2813" s="158"/>
      <c r="D2813" s="158"/>
      <c r="E2813" s="158"/>
      <c r="F2813" s="34"/>
      <c r="G2813" s="35"/>
      <c r="H2813" s="36"/>
      <c r="I2813" s="37"/>
      <c r="J2813" s="37"/>
      <c r="K2813" s="38"/>
      <c r="L2813" s="38"/>
      <c r="M2813" s="38"/>
      <c r="N2813" s="36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</row>
    <row r="2814" spans="1:28" ht="36" customHeight="1" x14ac:dyDescent="0.35">
      <c r="A2814" s="24">
        <f>A2810+1</f>
        <v>1197</v>
      </c>
      <c r="B2814" s="59" t="s">
        <v>963</v>
      </c>
      <c r="C2814" s="26" t="s">
        <v>14</v>
      </c>
      <c r="D2814" s="107">
        <v>0.83199999999999996</v>
      </c>
      <c r="E2814" s="41"/>
      <c r="F2814" s="42"/>
    </row>
    <row r="2815" spans="1:28" s="58" customFormat="1" ht="30" hidden="1" customHeight="1" outlineLevel="1" x14ac:dyDescent="0.4">
      <c r="A2815" s="54"/>
      <c r="B2815" s="48" t="s">
        <v>111</v>
      </c>
      <c r="C2815" s="49" t="s">
        <v>14</v>
      </c>
      <c r="D2815" s="65">
        <f>22.1*18.4/1000</f>
        <v>0.40664</v>
      </c>
      <c r="E2815" s="69">
        <v>1E-3</v>
      </c>
      <c r="F2815" s="57"/>
    </row>
    <row r="2816" spans="1:28" s="58" customFormat="1" ht="30" hidden="1" customHeight="1" outlineLevel="1" x14ac:dyDescent="0.4">
      <c r="A2816" s="54"/>
      <c r="B2816" s="48" t="s">
        <v>110</v>
      </c>
      <c r="C2816" s="49" t="s">
        <v>14</v>
      </c>
      <c r="D2816" s="65">
        <f>((3.7*16.4)+(16*2.39))/1000</f>
        <v>9.8920000000000008E-2</v>
      </c>
      <c r="E2816" s="51">
        <f>((3.7*16.4*1.25)+(16*2.39*1.25))/1000</f>
        <v>0.12365000000000001</v>
      </c>
      <c r="F2816" s="57"/>
    </row>
    <row r="2817" spans="1:28" s="58" customFormat="1" ht="30" hidden="1" customHeight="1" outlineLevel="1" x14ac:dyDescent="0.4">
      <c r="A2817" s="54"/>
      <c r="B2817" s="48" t="s">
        <v>964</v>
      </c>
      <c r="C2817" s="49" t="s">
        <v>14</v>
      </c>
      <c r="D2817" s="65">
        <f>((2*2.83)+(30*0.83)+(30*2.75)+(10*5.16)+(10.9*3.77)+(10*4.22))/1000</f>
        <v>0.24795299999999998</v>
      </c>
      <c r="E2817" s="69"/>
      <c r="F2817" s="57"/>
    </row>
    <row r="2818" spans="1:28" s="58" customFormat="1" ht="30" hidden="1" customHeight="1" outlineLevel="1" x14ac:dyDescent="0.4">
      <c r="A2818" s="54"/>
      <c r="B2818" s="48" t="s">
        <v>965</v>
      </c>
      <c r="C2818" s="49" t="s">
        <v>14</v>
      </c>
      <c r="D2818" s="65">
        <f>1*4.84/1000</f>
        <v>4.8399999999999997E-3</v>
      </c>
      <c r="E2818" s="69"/>
      <c r="F2818" s="57"/>
    </row>
    <row r="2819" spans="1:28" s="58" customFormat="1" ht="30" hidden="1" customHeight="1" outlineLevel="1" x14ac:dyDescent="0.4">
      <c r="A2819" s="54"/>
      <c r="B2819" s="48" t="s">
        <v>966</v>
      </c>
      <c r="C2819" s="49" t="s">
        <v>14</v>
      </c>
      <c r="D2819" s="65">
        <f>((19*0.38)+(18.76*1.26)+(9.1*4.71))/1000</f>
        <v>7.3718599999999995E-2</v>
      </c>
      <c r="E2819" s="69"/>
      <c r="F2819" s="57"/>
    </row>
    <row r="2820" spans="1:28" s="58" customFormat="1" ht="30" hidden="1" customHeight="1" outlineLevel="1" x14ac:dyDescent="0.4">
      <c r="A2820" s="54"/>
      <c r="B2820" s="48" t="s">
        <v>967</v>
      </c>
      <c r="C2820" s="49" t="s">
        <v>58</v>
      </c>
      <c r="D2820" s="68">
        <v>40</v>
      </c>
      <c r="E2820" s="69"/>
      <c r="F2820" s="57"/>
    </row>
    <row r="2821" spans="1:28" s="58" customFormat="1" ht="30" hidden="1" customHeight="1" outlineLevel="1" x14ac:dyDescent="0.4">
      <c r="A2821" s="54"/>
      <c r="B2821" s="48" t="s">
        <v>968</v>
      </c>
      <c r="C2821" s="49" t="s">
        <v>58</v>
      </c>
      <c r="D2821" s="68">
        <v>40</v>
      </c>
      <c r="E2821" s="69"/>
      <c r="F2821" s="57"/>
    </row>
    <row r="2822" spans="1:28" s="58" customFormat="1" ht="30" hidden="1" customHeight="1" outlineLevel="1" x14ac:dyDescent="0.4">
      <c r="A2822" s="54"/>
      <c r="B2822" s="48" t="s">
        <v>969</v>
      </c>
      <c r="C2822" s="49" t="s">
        <v>58</v>
      </c>
      <c r="D2822" s="68">
        <v>80</v>
      </c>
      <c r="E2822" s="69"/>
      <c r="F2822" s="57"/>
    </row>
    <row r="2823" spans="1:28" ht="36" customHeight="1" collapsed="1" x14ac:dyDescent="0.35">
      <c r="A2823" s="24">
        <f>A2814+1</f>
        <v>1198</v>
      </c>
      <c r="B2823" s="59" t="s">
        <v>118</v>
      </c>
      <c r="C2823" s="26" t="s">
        <v>14</v>
      </c>
      <c r="D2823" s="107">
        <f>D2814</f>
        <v>0.83199999999999996</v>
      </c>
      <c r="E2823" s="41"/>
      <c r="F2823" s="42"/>
    </row>
    <row r="2824" spans="1:28" s="39" customFormat="1" ht="36" customHeight="1" x14ac:dyDescent="0.35">
      <c r="A2824" s="24">
        <f>A2823+1</f>
        <v>1199</v>
      </c>
      <c r="B2824" s="25" t="s">
        <v>119</v>
      </c>
      <c r="C2824" s="26" t="s">
        <v>67</v>
      </c>
      <c r="D2824" s="40" t="s">
        <v>970</v>
      </c>
      <c r="E2824" s="64"/>
      <c r="F2824" s="34"/>
      <c r="G2824" s="35"/>
      <c r="H2824" s="36"/>
      <c r="I2824" s="37"/>
      <c r="J2824" s="37"/>
      <c r="K2824" s="38"/>
      <c r="L2824" s="38"/>
      <c r="M2824" s="38"/>
      <c r="N2824" s="36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</row>
    <row r="2825" spans="1:28" s="58" customFormat="1" ht="30" hidden="1" customHeight="1" outlineLevel="1" x14ac:dyDescent="0.4">
      <c r="A2825" s="54"/>
      <c r="B2825" s="48" t="s">
        <v>971</v>
      </c>
      <c r="C2825" s="49" t="s">
        <v>14</v>
      </c>
      <c r="D2825" s="65">
        <f>3.4*13.44/1000</f>
        <v>4.5696000000000001E-2</v>
      </c>
      <c r="E2825" s="51"/>
      <c r="F2825" s="57"/>
    </row>
    <row r="2826" spans="1:28" s="58" customFormat="1" ht="30" hidden="1" customHeight="1" outlineLevel="1" x14ac:dyDescent="0.4">
      <c r="A2826" s="54"/>
      <c r="B2826" s="48" t="s">
        <v>185</v>
      </c>
      <c r="C2826" s="49" t="s">
        <v>14</v>
      </c>
      <c r="D2826" s="65">
        <f>1*5.65/1000</f>
        <v>5.6500000000000005E-3</v>
      </c>
      <c r="E2826" s="51"/>
      <c r="F2826" s="57"/>
    </row>
    <row r="2827" spans="1:28" s="58" customFormat="1" ht="30" hidden="1" customHeight="1" outlineLevel="1" x14ac:dyDescent="0.4">
      <c r="A2827" s="54"/>
      <c r="B2827" s="48" t="s">
        <v>972</v>
      </c>
      <c r="C2827" s="49" t="s">
        <v>14</v>
      </c>
      <c r="D2827" s="65">
        <f>3.77*26.39/1000</f>
        <v>9.9490300000000004E-2</v>
      </c>
      <c r="E2827" s="51"/>
      <c r="F2827" s="57"/>
    </row>
    <row r="2828" spans="1:28" s="58" customFormat="1" ht="30" hidden="1" customHeight="1" outlineLevel="1" x14ac:dyDescent="0.4">
      <c r="A2828" s="54"/>
      <c r="B2828" s="48" t="s">
        <v>117</v>
      </c>
      <c r="C2828" s="49" t="s">
        <v>14</v>
      </c>
      <c r="D2828" s="65">
        <f>0.19*78.5/1000</f>
        <v>1.4915000000000001E-2</v>
      </c>
      <c r="E2828" s="51"/>
      <c r="F2828" s="57"/>
    </row>
    <row r="2829" spans="1:28" s="58" customFormat="1" ht="30" hidden="1" customHeight="1" outlineLevel="1" x14ac:dyDescent="0.4">
      <c r="A2829" s="54"/>
      <c r="B2829" s="48" t="s">
        <v>973</v>
      </c>
      <c r="C2829" s="49" t="s">
        <v>14</v>
      </c>
      <c r="D2829" s="65">
        <f>0.16*157/1000</f>
        <v>2.512E-2</v>
      </c>
      <c r="E2829" s="51"/>
      <c r="F2829" s="57"/>
    </row>
    <row r="2830" spans="1:28" ht="36" customHeight="1" collapsed="1" x14ac:dyDescent="0.35">
      <c r="A2830" s="24">
        <f>A2824+1</f>
        <v>1200</v>
      </c>
      <c r="B2830" s="59" t="s">
        <v>600</v>
      </c>
      <c r="C2830" s="26" t="s">
        <v>19</v>
      </c>
      <c r="D2830" s="104">
        <f>((1.1*0.6*0.8)+(2*2*1.8)+(2*2*1.8))</f>
        <v>14.928000000000001</v>
      </c>
      <c r="E2830" s="41"/>
      <c r="F2830" s="42"/>
    </row>
    <row r="2831" spans="1:28" ht="30" customHeight="1" x14ac:dyDescent="0.35">
      <c r="A2831" s="24">
        <f>A2830+1</f>
        <v>1201</v>
      </c>
      <c r="B2831" s="25" t="s">
        <v>51</v>
      </c>
      <c r="C2831" s="26" t="s">
        <v>19</v>
      </c>
      <c r="D2831" s="40">
        <v>0.24</v>
      </c>
      <c r="E2831" s="41"/>
      <c r="F2831" s="42"/>
    </row>
    <row r="2832" spans="1:28" ht="31" hidden="1" customHeight="1" outlineLevel="1" x14ac:dyDescent="0.35">
      <c r="A2832" s="47"/>
      <c r="B2832" s="48" t="s">
        <v>52</v>
      </c>
      <c r="C2832" s="49" t="s">
        <v>19</v>
      </c>
      <c r="D2832" s="63">
        <f>0.24</f>
        <v>0.24</v>
      </c>
      <c r="E2832" s="51"/>
      <c r="F2832" s="42"/>
    </row>
    <row r="2833" spans="1:28" ht="36" customHeight="1" collapsed="1" x14ac:dyDescent="0.35">
      <c r="A2833" s="24">
        <f>A2831+1</f>
        <v>1202</v>
      </c>
      <c r="B2833" s="59" t="s">
        <v>668</v>
      </c>
      <c r="C2833" s="26" t="s">
        <v>19</v>
      </c>
      <c r="D2833" s="107">
        <v>6.4000000000000001E-2</v>
      </c>
      <c r="E2833" s="41"/>
      <c r="F2833" s="42"/>
    </row>
    <row r="2834" spans="1:28" s="39" customFormat="1" ht="36" customHeight="1" x14ac:dyDescent="0.35">
      <c r="A2834" s="24">
        <f>A2833+1</f>
        <v>1203</v>
      </c>
      <c r="B2834" s="25" t="s">
        <v>136</v>
      </c>
      <c r="C2834" s="26" t="s">
        <v>19</v>
      </c>
      <c r="D2834" s="40">
        <v>6.4000000000000001E-2</v>
      </c>
      <c r="E2834" s="64"/>
      <c r="F2834" s="34"/>
      <c r="G2834" s="35"/>
      <c r="H2834" s="36"/>
      <c r="I2834" s="37"/>
      <c r="J2834" s="37"/>
      <c r="K2834" s="38"/>
      <c r="L2834" s="38"/>
      <c r="M2834" s="38"/>
      <c r="N2834" s="36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</row>
    <row r="2835" spans="1:28" ht="36" customHeight="1" x14ac:dyDescent="0.35">
      <c r="A2835" s="24">
        <f>A2834+1</f>
        <v>1204</v>
      </c>
      <c r="B2835" s="59" t="s">
        <v>72</v>
      </c>
      <c r="C2835" s="26" t="s">
        <v>29</v>
      </c>
      <c r="D2835" s="104">
        <v>52.1</v>
      </c>
      <c r="E2835" s="41"/>
      <c r="F2835" s="42"/>
    </row>
    <row r="2836" spans="1:28" ht="33" customHeight="1" x14ac:dyDescent="0.35">
      <c r="A2836" s="24">
        <f>A2835+1</f>
        <v>1205</v>
      </c>
      <c r="B2836" s="25" t="s">
        <v>64</v>
      </c>
      <c r="C2836" s="26" t="s">
        <v>19</v>
      </c>
      <c r="D2836" s="40">
        <v>0.47</v>
      </c>
      <c r="E2836" s="41"/>
      <c r="F2836" s="53"/>
    </row>
    <row r="2837" spans="1:28" s="58" customFormat="1" ht="30" hidden="1" customHeight="1" outlineLevel="1" x14ac:dyDescent="0.4">
      <c r="A2837" s="54"/>
      <c r="B2837" s="48" t="s">
        <v>65</v>
      </c>
      <c r="C2837" s="49" t="s">
        <v>19</v>
      </c>
      <c r="D2837" s="63">
        <f>0.47*1</f>
        <v>0.47</v>
      </c>
      <c r="E2837" s="51"/>
      <c r="F2837" s="57"/>
    </row>
    <row r="2838" spans="1:28" s="58" customFormat="1" ht="30" customHeight="1" collapsed="1" x14ac:dyDescent="0.4">
      <c r="A2838" s="24">
        <f>A2836+1</f>
        <v>1206</v>
      </c>
      <c r="B2838" s="59" t="s">
        <v>138</v>
      </c>
      <c r="C2838" s="70" t="s">
        <v>67</v>
      </c>
      <c r="D2838" s="40" t="s">
        <v>974</v>
      </c>
      <c r="E2838" s="66"/>
      <c r="F2838" s="57"/>
    </row>
    <row r="2839" spans="1:28" s="58" customFormat="1" ht="30" hidden="1" customHeight="1" outlineLevel="1" x14ac:dyDescent="0.4">
      <c r="A2839" s="54"/>
      <c r="B2839" s="48" t="s">
        <v>975</v>
      </c>
      <c r="C2839" s="49" t="s">
        <v>58</v>
      </c>
      <c r="D2839" s="55">
        <v>1</v>
      </c>
      <c r="E2839" s="51">
        <v>8.0000000000000002E-3</v>
      </c>
      <c r="F2839" s="57"/>
    </row>
    <row r="2840" spans="1:28" s="58" customFormat="1" ht="30" hidden="1" customHeight="1" outlineLevel="1" x14ac:dyDescent="0.4">
      <c r="A2840" s="54"/>
      <c r="B2840" s="48" t="s">
        <v>189</v>
      </c>
      <c r="C2840" s="49" t="s">
        <v>14</v>
      </c>
      <c r="D2840" s="65">
        <f>19.32/1000</f>
        <v>1.932E-2</v>
      </c>
      <c r="E2840" s="51">
        <v>1.9E-2</v>
      </c>
      <c r="F2840" s="57"/>
    </row>
    <row r="2841" spans="1:28" ht="36" customHeight="1" collapsed="1" x14ac:dyDescent="0.35">
      <c r="A2841" s="24">
        <f>A2838+1</f>
        <v>1207</v>
      </c>
      <c r="B2841" s="59" t="s">
        <v>668</v>
      </c>
      <c r="C2841" s="26" t="s">
        <v>19</v>
      </c>
      <c r="D2841" s="107">
        <v>1.2999999999999999E-2</v>
      </c>
      <c r="E2841" s="41"/>
      <c r="F2841" s="42"/>
    </row>
    <row r="2842" spans="1:28" ht="36" customHeight="1" x14ac:dyDescent="0.35">
      <c r="A2842" s="24">
        <f>A2841+1</f>
        <v>1208</v>
      </c>
      <c r="B2842" s="59" t="s">
        <v>606</v>
      </c>
      <c r="C2842" s="26" t="s">
        <v>29</v>
      </c>
      <c r="D2842" s="104">
        <v>0.25</v>
      </c>
      <c r="E2842" s="41"/>
      <c r="F2842" s="42"/>
    </row>
    <row r="2843" spans="1:28" ht="31" customHeight="1" x14ac:dyDescent="0.35">
      <c r="A2843" s="24">
        <f>A2842+1</f>
        <v>1209</v>
      </c>
      <c r="B2843" s="25" t="s">
        <v>174</v>
      </c>
      <c r="C2843" s="26" t="s">
        <v>29</v>
      </c>
      <c r="D2843" s="80">
        <f>(((1.1*0.5)+(0.4*0.5)+(1.1*0.5)+(0.4*0.5)+(0.3*0.3*4)))</f>
        <v>1.8599999999999999</v>
      </c>
      <c r="E2843" s="41"/>
      <c r="F2843" s="42"/>
    </row>
    <row r="2844" spans="1:28" ht="31" hidden="1" customHeight="1" outlineLevel="1" x14ac:dyDescent="0.35">
      <c r="A2844" s="47"/>
      <c r="B2844" s="48" t="s">
        <v>175</v>
      </c>
      <c r="C2844" s="49" t="s">
        <v>74</v>
      </c>
      <c r="D2844" s="68">
        <f>D2843*2*2</f>
        <v>7.4399999999999995</v>
      </c>
      <c r="E2844" s="69">
        <v>7.0000000000000001E-3</v>
      </c>
      <c r="F2844" s="42"/>
    </row>
    <row r="2845" spans="1:28" ht="36" customHeight="1" collapsed="1" x14ac:dyDescent="0.35">
      <c r="A2845" s="24">
        <f>A2843+1</f>
        <v>1210</v>
      </c>
      <c r="B2845" s="59" t="s">
        <v>757</v>
      </c>
      <c r="C2845" s="26" t="s">
        <v>19</v>
      </c>
      <c r="D2845" s="104">
        <f>D2830-1-D2836-D2831</f>
        <v>13.218</v>
      </c>
      <c r="E2845" s="41"/>
      <c r="F2845" s="42"/>
    </row>
    <row r="2846" spans="1:28" ht="36" customHeight="1" x14ac:dyDescent="0.35">
      <c r="A2846" s="24">
        <f>A2845+1</f>
        <v>1211</v>
      </c>
      <c r="B2846" s="59" t="s">
        <v>72</v>
      </c>
      <c r="C2846" s="26" t="s">
        <v>29</v>
      </c>
      <c r="D2846" s="104">
        <f>(D2815+D2817+D2818+D2819+D2825+D2826+D2827+D2828+D2829)*28+3.7+3.7+16+16</f>
        <v>65.27264120000001</v>
      </c>
      <c r="E2846" s="41"/>
      <c r="F2846" s="42"/>
    </row>
    <row r="2847" spans="1:28" s="58" customFormat="1" ht="30" hidden="1" customHeight="1" outlineLevel="1" x14ac:dyDescent="0.4">
      <c r="A2847" s="54"/>
      <c r="B2847" s="48" t="s">
        <v>73</v>
      </c>
      <c r="C2847" s="49" t="s">
        <v>74</v>
      </c>
      <c r="D2847" s="68">
        <f>3.31*D2846</f>
        <v>216.05244237200003</v>
      </c>
      <c r="E2847" s="69">
        <v>0.216</v>
      </c>
      <c r="F2847" s="57"/>
    </row>
    <row r="2848" spans="1:28" ht="36" customHeight="1" collapsed="1" x14ac:dyDescent="0.35">
      <c r="A2848" s="24">
        <f>A2846+1</f>
        <v>1212</v>
      </c>
      <c r="B2848" s="59" t="s">
        <v>75</v>
      </c>
      <c r="C2848" s="26" t="s">
        <v>29</v>
      </c>
      <c r="D2848" s="104">
        <v>65.3</v>
      </c>
      <c r="E2848" s="41"/>
      <c r="F2848" s="42"/>
    </row>
    <row r="2849" spans="1:28" ht="36" customHeight="1" x14ac:dyDescent="0.35">
      <c r="A2849" s="24">
        <f>A2848+1</f>
        <v>1213</v>
      </c>
      <c r="B2849" s="59" t="s">
        <v>76</v>
      </c>
      <c r="C2849" s="26" t="s">
        <v>29</v>
      </c>
      <c r="D2849" s="104">
        <v>65.3</v>
      </c>
      <c r="E2849" s="41"/>
      <c r="F2849" s="42"/>
    </row>
    <row r="2850" spans="1:28" s="58" customFormat="1" ht="30" customHeight="1" x14ac:dyDescent="0.4">
      <c r="A2850" s="24">
        <f>A2849+1</f>
        <v>1214</v>
      </c>
      <c r="B2850" s="59" t="s">
        <v>77</v>
      </c>
      <c r="C2850" s="70" t="s">
        <v>29</v>
      </c>
      <c r="D2850" s="104">
        <v>65.3</v>
      </c>
      <c r="E2850" s="66"/>
      <c r="F2850" s="57"/>
    </row>
    <row r="2851" spans="1:28" s="58" customFormat="1" ht="30" hidden="1" customHeight="1" outlineLevel="1" x14ac:dyDescent="0.4">
      <c r="A2851" s="54"/>
      <c r="B2851" s="48" t="s">
        <v>78</v>
      </c>
      <c r="C2851" s="49" t="s">
        <v>74</v>
      </c>
      <c r="D2851" s="68">
        <f>D2850*0.255</f>
        <v>16.651499999999999</v>
      </c>
      <c r="E2851" s="69">
        <v>1.7000000000000001E-2</v>
      </c>
      <c r="F2851" s="57"/>
    </row>
    <row r="2852" spans="1:28" s="58" customFormat="1" ht="30" customHeight="1" collapsed="1" x14ac:dyDescent="0.4">
      <c r="A2852" s="24">
        <f>A2850+1</f>
        <v>1215</v>
      </c>
      <c r="B2852" s="59" t="s">
        <v>79</v>
      </c>
      <c r="C2852" s="70" t="s">
        <v>29</v>
      </c>
      <c r="D2852" s="104">
        <v>65.3</v>
      </c>
      <c r="E2852" s="66"/>
      <c r="F2852" s="57"/>
    </row>
    <row r="2853" spans="1:28" s="58" customFormat="1" ht="30" hidden="1" customHeight="1" outlineLevel="1" x14ac:dyDescent="0.4">
      <c r="A2853" s="54"/>
      <c r="B2853" s="48" t="s">
        <v>80</v>
      </c>
      <c r="C2853" s="49" t="s">
        <v>74</v>
      </c>
      <c r="D2853" s="68">
        <f>D2852*0.36*2</f>
        <v>47.015999999999998</v>
      </c>
      <c r="E2853" s="69">
        <v>4.7E-2</v>
      </c>
      <c r="F2853" s="57"/>
    </row>
    <row r="2854" spans="1:28" s="39" customFormat="1" ht="21" customHeight="1" collapsed="1" x14ac:dyDescent="0.35">
      <c r="A2854" s="158" t="s">
        <v>976</v>
      </c>
      <c r="B2854" s="158"/>
      <c r="C2854" s="158"/>
      <c r="D2854" s="158"/>
      <c r="E2854" s="158"/>
      <c r="F2854" s="34"/>
      <c r="G2854" s="35"/>
      <c r="H2854" s="36"/>
      <c r="I2854" s="37"/>
      <c r="J2854" s="37"/>
      <c r="K2854" s="38"/>
      <c r="L2854" s="38"/>
      <c r="M2854" s="38"/>
      <c r="N2854" s="36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</row>
    <row r="2855" spans="1:28" s="39" customFormat="1" ht="21" customHeight="1" x14ac:dyDescent="0.35">
      <c r="A2855" s="154" t="s">
        <v>977</v>
      </c>
      <c r="B2855" s="154"/>
      <c r="C2855" s="154"/>
      <c r="D2855" s="154"/>
      <c r="E2855" s="154"/>
      <c r="F2855" s="34"/>
      <c r="G2855" s="35"/>
      <c r="H2855" s="36"/>
      <c r="I2855" s="37"/>
      <c r="J2855" s="37"/>
      <c r="K2855" s="38"/>
      <c r="L2855" s="38"/>
      <c r="M2855" s="38"/>
      <c r="N2855" s="36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</row>
    <row r="2856" spans="1:28" ht="33" customHeight="1" x14ac:dyDescent="0.35">
      <c r="A2856" s="24">
        <f>A2852+1</f>
        <v>1216</v>
      </c>
      <c r="B2856" s="25" t="s">
        <v>136</v>
      </c>
      <c r="C2856" s="26" t="s">
        <v>19</v>
      </c>
      <c r="D2856" s="40">
        <v>0.2</v>
      </c>
      <c r="E2856" s="41"/>
      <c r="F2856" s="53"/>
    </row>
    <row r="2857" spans="1:28" s="58" customFormat="1" ht="30" hidden="1" customHeight="1" outlineLevel="1" x14ac:dyDescent="0.4">
      <c r="A2857" s="54"/>
      <c r="B2857" s="48" t="s">
        <v>134</v>
      </c>
      <c r="C2857" s="49" t="s">
        <v>19</v>
      </c>
      <c r="D2857" s="68">
        <f>D2856</f>
        <v>0.2</v>
      </c>
      <c r="E2857" s="69"/>
      <c r="F2857" s="57"/>
    </row>
    <row r="2858" spans="1:28" s="58" customFormat="1" ht="30" customHeight="1" collapsed="1" x14ac:dyDescent="0.4">
      <c r="A2858" s="24">
        <f>A2856+1</f>
        <v>1217</v>
      </c>
      <c r="B2858" s="119" t="s">
        <v>978</v>
      </c>
      <c r="C2858" s="120" t="s">
        <v>19</v>
      </c>
      <c r="D2858" s="124">
        <v>0.82</v>
      </c>
      <c r="E2858" s="66"/>
      <c r="F2858" s="57"/>
    </row>
    <row r="2859" spans="1:28" ht="30" hidden="1" customHeight="1" outlineLevel="1" x14ac:dyDescent="0.35">
      <c r="A2859" s="47"/>
      <c r="B2859" s="48" t="s">
        <v>137</v>
      </c>
      <c r="C2859" s="49" t="s">
        <v>14</v>
      </c>
      <c r="D2859" s="65">
        <f>(12.25+(4*3*1.55))/1000*1</f>
        <v>3.0850000000000002E-2</v>
      </c>
      <c r="E2859" s="78"/>
      <c r="F2859" s="42"/>
    </row>
    <row r="2860" spans="1:28" ht="30" hidden="1" customHeight="1" outlineLevel="1" x14ac:dyDescent="0.35">
      <c r="A2860" s="47"/>
      <c r="B2860" s="48" t="s">
        <v>937</v>
      </c>
      <c r="C2860" s="49" t="s">
        <v>14</v>
      </c>
      <c r="D2860" s="65">
        <f>(4*10*0.23)/1000</f>
        <v>9.2000000000000016E-3</v>
      </c>
      <c r="E2860" s="78"/>
      <c r="F2860" s="42"/>
    </row>
    <row r="2861" spans="1:28" ht="30" hidden="1" customHeight="1" outlineLevel="1" x14ac:dyDescent="0.35">
      <c r="A2861" s="47"/>
      <c r="B2861" s="48" t="s">
        <v>927</v>
      </c>
      <c r="C2861" s="49" t="s">
        <v>14</v>
      </c>
      <c r="D2861" s="65">
        <f>20*0.18/1000*1</f>
        <v>3.5999999999999995E-3</v>
      </c>
      <c r="E2861" s="78"/>
      <c r="F2861" s="42"/>
    </row>
    <row r="2862" spans="1:28" ht="30" hidden="1" customHeight="1" outlineLevel="1" x14ac:dyDescent="0.35">
      <c r="A2862" s="47"/>
      <c r="B2862" s="48" t="s">
        <v>65</v>
      </c>
      <c r="C2862" s="49" t="s">
        <v>19</v>
      </c>
      <c r="D2862" s="81">
        <f>0.82*1</f>
        <v>0.82</v>
      </c>
      <c r="E2862" s="78"/>
      <c r="F2862" s="42"/>
    </row>
    <row r="2863" spans="1:28" ht="36" customHeight="1" collapsed="1" x14ac:dyDescent="0.35">
      <c r="A2863" s="24">
        <f>A2858+1</f>
        <v>1218</v>
      </c>
      <c r="B2863" s="59" t="s">
        <v>603</v>
      </c>
      <c r="C2863" s="26" t="s">
        <v>67</v>
      </c>
      <c r="D2863" s="67" t="s">
        <v>979</v>
      </c>
      <c r="E2863" s="41"/>
      <c r="F2863" s="42"/>
    </row>
    <row r="2864" spans="1:28" s="58" customFormat="1" ht="30" hidden="1" customHeight="1" outlineLevel="1" x14ac:dyDescent="0.4">
      <c r="A2864" s="54"/>
      <c r="B2864" s="48" t="s">
        <v>980</v>
      </c>
      <c r="C2864" s="49" t="s">
        <v>58</v>
      </c>
      <c r="D2864" s="55">
        <v>4</v>
      </c>
      <c r="E2864" s="51">
        <v>8.0000000000000002E-3</v>
      </c>
      <c r="F2864" s="57"/>
    </row>
    <row r="2865" spans="1:28" ht="31" customHeight="1" collapsed="1" x14ac:dyDescent="0.35">
      <c r="A2865" s="24">
        <f>A2863+1</f>
        <v>1219</v>
      </c>
      <c r="B2865" s="25" t="s">
        <v>174</v>
      </c>
      <c r="C2865" s="26" t="s">
        <v>29</v>
      </c>
      <c r="D2865" s="80">
        <f>(((0.3*1.2*4)+(0.3*1.2*4)))</f>
        <v>2.88</v>
      </c>
      <c r="E2865" s="41"/>
      <c r="F2865" s="42"/>
    </row>
    <row r="2866" spans="1:28" ht="31" hidden="1" customHeight="1" outlineLevel="1" x14ac:dyDescent="0.35">
      <c r="A2866" s="47"/>
      <c r="B2866" s="48" t="s">
        <v>175</v>
      </c>
      <c r="C2866" s="49" t="s">
        <v>74</v>
      </c>
      <c r="D2866" s="68">
        <f>D2865*2*2</f>
        <v>11.52</v>
      </c>
      <c r="E2866" s="69">
        <v>1.2E-2</v>
      </c>
      <c r="F2866" s="42"/>
    </row>
    <row r="2867" spans="1:28" s="39" customFormat="1" ht="21" customHeight="1" collapsed="1" x14ac:dyDescent="0.35">
      <c r="A2867" s="158" t="s">
        <v>981</v>
      </c>
      <c r="B2867" s="158"/>
      <c r="C2867" s="158"/>
      <c r="D2867" s="158"/>
      <c r="E2867" s="158"/>
      <c r="F2867" s="34"/>
      <c r="G2867" s="35"/>
      <c r="H2867" s="36"/>
      <c r="I2867" s="37"/>
      <c r="J2867" s="37"/>
      <c r="K2867" s="38"/>
      <c r="L2867" s="38"/>
      <c r="M2867" s="38"/>
      <c r="N2867" s="36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</row>
    <row r="2868" spans="1:28" s="39" customFormat="1" ht="21" customHeight="1" x14ac:dyDescent="0.35">
      <c r="A2868" s="154" t="s">
        <v>496</v>
      </c>
      <c r="B2868" s="154"/>
      <c r="C2868" s="154"/>
      <c r="D2868" s="154"/>
      <c r="E2868" s="154"/>
      <c r="F2868" s="34"/>
      <c r="G2868" s="35"/>
      <c r="H2868" s="36"/>
      <c r="I2868" s="37"/>
      <c r="J2868" s="37"/>
      <c r="K2868" s="38"/>
      <c r="L2868" s="38"/>
      <c r="M2868" s="38"/>
      <c r="N2868" s="36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</row>
    <row r="2869" spans="1:28" ht="36" customHeight="1" x14ac:dyDescent="0.35">
      <c r="A2869" s="24">
        <f>A2865+1</f>
        <v>1220</v>
      </c>
      <c r="B2869" s="59" t="s">
        <v>982</v>
      </c>
      <c r="C2869" s="26" t="s">
        <v>14</v>
      </c>
      <c r="D2869" s="107">
        <v>5.6150000000000002</v>
      </c>
      <c r="E2869" s="41"/>
      <c r="F2869" s="42"/>
    </row>
    <row r="2870" spans="1:28" s="58" customFormat="1" ht="30" hidden="1" customHeight="1" outlineLevel="1" x14ac:dyDescent="0.4">
      <c r="A2870" s="54"/>
      <c r="B2870" s="48" t="s">
        <v>111</v>
      </c>
      <c r="C2870" s="49" t="s">
        <v>14</v>
      </c>
      <c r="D2870" s="65">
        <f>((23*18.4)+(7.6*18.4))*2/1000</f>
        <v>1.12608</v>
      </c>
      <c r="E2870" s="69"/>
      <c r="F2870" s="57"/>
    </row>
    <row r="2871" spans="1:28" s="58" customFormat="1" ht="30" hidden="1" customHeight="1" outlineLevel="1" x14ac:dyDescent="0.4">
      <c r="A2871" s="54"/>
      <c r="B2871" s="48" t="s">
        <v>983</v>
      </c>
      <c r="C2871" s="49" t="s">
        <v>14</v>
      </c>
      <c r="D2871" s="65">
        <f>80.1*8.59*2/1000</f>
        <v>1.376118</v>
      </c>
      <c r="E2871" s="69"/>
      <c r="F2871" s="57"/>
    </row>
    <row r="2872" spans="1:28" s="58" customFormat="1" ht="30" hidden="1" customHeight="1" outlineLevel="1" x14ac:dyDescent="0.4">
      <c r="A2872" s="54"/>
      <c r="B2872" s="48" t="s">
        <v>110</v>
      </c>
      <c r="C2872" s="49" t="s">
        <v>14</v>
      </c>
      <c r="D2872" s="65">
        <f>((28.1*16.4)+(3.8*16.4))*2/1000</f>
        <v>1.0463199999999999</v>
      </c>
      <c r="E2872" s="51"/>
      <c r="F2872" s="57"/>
    </row>
    <row r="2873" spans="1:28" s="58" customFormat="1" ht="30" hidden="1" customHeight="1" outlineLevel="1" x14ac:dyDescent="0.4">
      <c r="A2873" s="54"/>
      <c r="B2873" s="48" t="s">
        <v>984</v>
      </c>
      <c r="C2873" s="49" t="s">
        <v>14</v>
      </c>
      <c r="D2873" s="65">
        <f>21.45*9.63*2/1000</f>
        <v>0.41312700000000002</v>
      </c>
      <c r="E2873" s="69"/>
      <c r="F2873" s="57"/>
    </row>
    <row r="2874" spans="1:28" s="58" customFormat="1" ht="30" hidden="1" customHeight="1" outlineLevel="1" x14ac:dyDescent="0.4">
      <c r="A2874" s="54"/>
      <c r="B2874" s="48" t="s">
        <v>985</v>
      </c>
      <c r="C2874" s="49" t="s">
        <v>14</v>
      </c>
      <c r="D2874" s="65">
        <f>((44*0.47)+(28*0.61)+(28*0.61)+(26*0.61))*2/1000</f>
        <v>0.14139999999999997</v>
      </c>
      <c r="E2874" s="69"/>
      <c r="F2874" s="57"/>
    </row>
    <row r="2875" spans="1:28" s="58" customFormat="1" ht="30" hidden="1" customHeight="1" outlineLevel="1" x14ac:dyDescent="0.4">
      <c r="A2875" s="54"/>
      <c r="B2875" s="48" t="s">
        <v>964</v>
      </c>
      <c r="C2875" s="49" t="s">
        <v>14</v>
      </c>
      <c r="D2875" s="65">
        <f>(((28*5.16)*2)+((26.4*3.77)*2)+(28*0.94*2)+(26*5.16)+(20.8*3.77))/1000</f>
        <v>0.75323200000000001</v>
      </c>
      <c r="E2875" s="69"/>
      <c r="F2875" s="57"/>
    </row>
    <row r="2876" spans="1:28" s="58" customFormat="1" ht="30" hidden="1" customHeight="1" outlineLevel="1" x14ac:dyDescent="0.4">
      <c r="A2876" s="54"/>
      <c r="B2876" s="48" t="s">
        <v>986</v>
      </c>
      <c r="C2876" s="49" t="s">
        <v>14</v>
      </c>
      <c r="D2876" s="65">
        <f>((52.8*1.12*2)+(41.6*1.12))/1000</f>
        <v>0.16486400000000001</v>
      </c>
      <c r="E2876" s="69"/>
      <c r="F2876" s="57"/>
    </row>
    <row r="2877" spans="1:28" s="58" customFormat="1" ht="30" hidden="1" customHeight="1" outlineLevel="1" x14ac:dyDescent="0.4">
      <c r="A2877" s="54"/>
      <c r="B2877" s="48" t="s">
        <v>966</v>
      </c>
      <c r="C2877" s="49" t="s">
        <v>14</v>
      </c>
      <c r="D2877" s="65">
        <f>((26.4*4.71)+(15.8*4.71)+(20.8*4.71))*2/1000</f>
        <v>0.59345999999999999</v>
      </c>
      <c r="E2877" s="69"/>
      <c r="F2877" s="57"/>
    </row>
    <row r="2878" spans="1:28" s="58" customFormat="1" ht="30" hidden="1" customHeight="1" outlineLevel="1" x14ac:dyDescent="0.4">
      <c r="A2878" s="54"/>
      <c r="B2878" s="48" t="s">
        <v>967</v>
      </c>
      <c r="C2878" s="49" t="s">
        <v>58</v>
      </c>
      <c r="D2878" s="55">
        <v>164</v>
      </c>
      <c r="E2878" s="69"/>
      <c r="F2878" s="57"/>
    </row>
    <row r="2879" spans="1:28" s="58" customFormat="1" ht="30" hidden="1" customHeight="1" outlineLevel="1" x14ac:dyDescent="0.4">
      <c r="A2879" s="54"/>
      <c r="B2879" s="48" t="s">
        <v>968</v>
      </c>
      <c r="C2879" s="49" t="s">
        <v>58</v>
      </c>
      <c r="D2879" s="55">
        <v>164</v>
      </c>
      <c r="E2879" s="69"/>
      <c r="F2879" s="57"/>
    </row>
    <row r="2880" spans="1:28" s="58" customFormat="1" ht="30" hidden="1" customHeight="1" outlineLevel="1" x14ac:dyDescent="0.4">
      <c r="A2880" s="54"/>
      <c r="B2880" s="48" t="s">
        <v>969</v>
      </c>
      <c r="C2880" s="49" t="s">
        <v>58</v>
      </c>
      <c r="D2880" s="55">
        <v>328</v>
      </c>
      <c r="E2880" s="69"/>
      <c r="F2880" s="57"/>
    </row>
    <row r="2881" spans="1:28" ht="36" customHeight="1" collapsed="1" x14ac:dyDescent="0.35">
      <c r="A2881" s="24">
        <f>A2869+1</f>
        <v>1221</v>
      </c>
      <c r="B2881" s="59" t="s">
        <v>118</v>
      </c>
      <c r="C2881" s="26" t="s">
        <v>14</v>
      </c>
      <c r="D2881" s="107">
        <f>D2869</f>
        <v>5.6150000000000002</v>
      </c>
      <c r="E2881" s="41"/>
      <c r="F2881" s="42"/>
    </row>
    <row r="2882" spans="1:28" ht="36" customHeight="1" x14ac:dyDescent="0.35">
      <c r="A2882" s="24">
        <f>A2881+1</f>
        <v>1222</v>
      </c>
      <c r="B2882" s="59" t="s">
        <v>72</v>
      </c>
      <c r="C2882" s="26" t="s">
        <v>29</v>
      </c>
      <c r="D2882" s="104">
        <f>(236.3+224.8+6.6+6.6+3.8+3.8)/2</f>
        <v>240.95000000000005</v>
      </c>
      <c r="E2882" s="41"/>
      <c r="F2882" s="42"/>
    </row>
    <row r="2883" spans="1:28" s="58" customFormat="1" ht="30" hidden="1" customHeight="1" outlineLevel="1" x14ac:dyDescent="0.4">
      <c r="A2883" s="54"/>
      <c r="B2883" s="48" t="s">
        <v>73</v>
      </c>
      <c r="C2883" s="49" t="s">
        <v>74</v>
      </c>
      <c r="D2883" s="68">
        <f>3.31*D2882</f>
        <v>797.5445000000002</v>
      </c>
      <c r="E2883" s="69">
        <v>0.79800000000000004</v>
      </c>
      <c r="F2883" s="57"/>
    </row>
    <row r="2884" spans="1:28" ht="36" customHeight="1" collapsed="1" x14ac:dyDescent="0.35">
      <c r="A2884" s="24">
        <f>A2882+1</f>
        <v>1223</v>
      </c>
      <c r="B2884" s="59" t="s">
        <v>75</v>
      </c>
      <c r="C2884" s="26" t="s">
        <v>29</v>
      </c>
      <c r="D2884" s="104">
        <f>(236.3+224.8+6.6+6.6+3.8+3.8)/2</f>
        <v>240.95000000000005</v>
      </c>
      <c r="E2884" s="41"/>
      <c r="F2884" s="42"/>
    </row>
    <row r="2885" spans="1:28" ht="15.45" x14ac:dyDescent="0.35">
      <c r="A2885" s="24">
        <f>A2884+1</f>
        <v>1224</v>
      </c>
      <c r="B2885" s="59" t="s">
        <v>76</v>
      </c>
      <c r="C2885" s="26" t="s">
        <v>29</v>
      </c>
      <c r="D2885" s="104">
        <f>(236.3+224.8+6.6+6.6+3.8+3.8)/2</f>
        <v>240.95000000000005</v>
      </c>
      <c r="E2885" s="41"/>
      <c r="F2885" s="42"/>
    </row>
    <row r="2886" spans="1:28" s="58" customFormat="1" ht="15.45" x14ac:dyDescent="0.4">
      <c r="A2886" s="24">
        <f>A2885+1</f>
        <v>1225</v>
      </c>
      <c r="B2886" s="59" t="s">
        <v>77</v>
      </c>
      <c r="C2886" s="70" t="s">
        <v>29</v>
      </c>
      <c r="D2886" s="104">
        <f>(236.3+224.8+6.6+6.6+3.8+3.8)/2</f>
        <v>240.95000000000005</v>
      </c>
      <c r="E2886" s="66"/>
      <c r="F2886" s="57"/>
    </row>
    <row r="2887" spans="1:28" s="58" customFormat="1" ht="15.45" hidden="1" outlineLevel="1" x14ac:dyDescent="0.4">
      <c r="A2887" s="54"/>
      <c r="B2887" s="48" t="s">
        <v>78</v>
      </c>
      <c r="C2887" s="49" t="s">
        <v>74</v>
      </c>
      <c r="D2887" s="68">
        <f>D2886*0.255</f>
        <v>61.442250000000016</v>
      </c>
      <c r="E2887" s="69">
        <v>6.0999999999999999E-2</v>
      </c>
      <c r="F2887" s="57"/>
    </row>
    <row r="2888" spans="1:28" s="58" customFormat="1" ht="30.9" collapsed="1" x14ac:dyDescent="0.4">
      <c r="A2888" s="24">
        <f>A2886+1</f>
        <v>1226</v>
      </c>
      <c r="B2888" s="59" t="s">
        <v>79</v>
      </c>
      <c r="C2888" s="70" t="s">
        <v>29</v>
      </c>
      <c r="D2888" s="104">
        <f>(236.3+224.8+6.6+6.6+3.8+3.8)/2</f>
        <v>240.95000000000005</v>
      </c>
      <c r="E2888" s="66"/>
      <c r="F2888" s="57"/>
    </row>
    <row r="2889" spans="1:28" s="58" customFormat="1" ht="15.45" hidden="1" outlineLevel="1" x14ac:dyDescent="0.4">
      <c r="A2889" s="54"/>
      <c r="B2889" s="48" t="s">
        <v>80</v>
      </c>
      <c r="C2889" s="49" t="s">
        <v>74</v>
      </c>
      <c r="D2889" s="68">
        <f>D2888*0.36*2</f>
        <v>173.48400000000004</v>
      </c>
      <c r="E2889" s="69">
        <v>0.17399999999999999</v>
      </c>
      <c r="F2889" s="57"/>
    </row>
    <row r="2890" spans="1:28" s="39" customFormat="1" ht="18" collapsed="1" x14ac:dyDescent="0.35">
      <c r="A2890" s="158" t="s">
        <v>987</v>
      </c>
      <c r="B2890" s="158"/>
      <c r="C2890" s="158"/>
      <c r="D2890" s="158"/>
      <c r="E2890" s="158"/>
      <c r="F2890" s="34"/>
      <c r="G2890" s="35"/>
      <c r="H2890" s="36"/>
      <c r="I2890" s="37"/>
      <c r="J2890" s="37"/>
      <c r="K2890" s="38"/>
      <c r="L2890" s="38"/>
      <c r="M2890" s="38"/>
      <c r="N2890" s="36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</row>
    <row r="2891" spans="1:28" s="58" customFormat="1" ht="30" customHeight="1" x14ac:dyDescent="0.4">
      <c r="A2891" s="24">
        <f>A2888+1</f>
        <v>1227</v>
      </c>
      <c r="B2891" s="59" t="s">
        <v>499</v>
      </c>
      <c r="C2891" s="70" t="s">
        <v>58</v>
      </c>
      <c r="D2891" s="82">
        <v>1</v>
      </c>
      <c r="E2891" s="66"/>
      <c r="F2891" s="57"/>
    </row>
    <row r="2892" spans="1:28" s="58" customFormat="1" ht="61.75" hidden="1" outlineLevel="1" x14ac:dyDescent="0.4">
      <c r="A2892" s="54"/>
      <c r="B2892" s="48" t="s">
        <v>500</v>
      </c>
      <c r="C2892" s="75" t="s">
        <v>251</v>
      </c>
      <c r="D2892" s="54">
        <v>1</v>
      </c>
      <c r="E2892" s="69"/>
      <c r="F2892" s="57"/>
    </row>
    <row r="2893" spans="1:28" s="33" customFormat="1" ht="31" customHeight="1" collapsed="1" x14ac:dyDescent="0.35">
      <c r="A2893" s="24">
        <f>A2891+1</f>
        <v>1228</v>
      </c>
      <c r="B2893" s="59" t="s">
        <v>501</v>
      </c>
      <c r="C2893" s="26" t="s">
        <v>58</v>
      </c>
      <c r="D2893" s="73">
        <v>4</v>
      </c>
      <c r="E2893" s="28"/>
      <c r="F2893" s="29"/>
      <c r="G2893" s="30"/>
      <c r="H2893" s="31"/>
      <c r="I2893" s="30"/>
      <c r="J2893" s="30"/>
      <c r="K2893" s="32"/>
      <c r="L2893" s="32"/>
      <c r="M2893" s="32"/>
      <c r="N2893" s="31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</row>
    <row r="2894" spans="1:28" s="39" customFormat="1" ht="46.3" hidden="1" outlineLevel="1" x14ac:dyDescent="0.35">
      <c r="A2894" s="74"/>
      <c r="B2894" s="48" t="s">
        <v>502</v>
      </c>
      <c r="C2894" s="49" t="s">
        <v>251</v>
      </c>
      <c r="D2894" s="55">
        <v>2</v>
      </c>
      <c r="E2894" s="78">
        <v>5.6000000000000001E-2</v>
      </c>
      <c r="F2894" s="34"/>
      <c r="G2894" s="35"/>
      <c r="H2894" s="36"/>
      <c r="I2894" s="37"/>
      <c r="J2894" s="37"/>
      <c r="K2894" s="38"/>
      <c r="L2894" s="38"/>
      <c r="M2894" s="38"/>
      <c r="N2894" s="36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</row>
    <row r="2895" spans="1:28" s="39" customFormat="1" ht="46.3" hidden="1" outlineLevel="1" x14ac:dyDescent="0.35">
      <c r="A2895" s="74"/>
      <c r="B2895" s="48" t="s">
        <v>503</v>
      </c>
      <c r="C2895" s="49" t="s">
        <v>251</v>
      </c>
      <c r="D2895" s="55">
        <v>2</v>
      </c>
      <c r="E2895" s="78">
        <v>5.6000000000000001E-2</v>
      </c>
      <c r="F2895" s="34"/>
      <c r="G2895" s="35"/>
      <c r="H2895" s="36"/>
      <c r="I2895" s="37"/>
      <c r="J2895" s="37"/>
      <c r="K2895" s="38"/>
      <c r="L2895" s="38"/>
      <c r="M2895" s="38"/>
      <c r="N2895" s="36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</row>
    <row r="2896" spans="1:28" s="33" customFormat="1" ht="31" customHeight="1" collapsed="1" x14ac:dyDescent="0.35">
      <c r="A2896" s="24">
        <f>A2893+1</f>
        <v>1229</v>
      </c>
      <c r="B2896" s="59" t="s">
        <v>504</v>
      </c>
      <c r="C2896" s="26" t="s">
        <v>58</v>
      </c>
      <c r="D2896" s="73">
        <v>1</v>
      </c>
      <c r="E2896" s="28"/>
      <c r="F2896" s="29"/>
      <c r="G2896" s="30"/>
      <c r="H2896" s="31"/>
      <c r="I2896" s="30"/>
      <c r="J2896" s="30"/>
      <c r="K2896" s="32"/>
      <c r="L2896" s="32"/>
      <c r="M2896" s="32"/>
      <c r="N2896" s="31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</row>
    <row r="2897" spans="1:28" s="39" customFormat="1" ht="46.3" hidden="1" outlineLevel="1" x14ac:dyDescent="0.35">
      <c r="A2897" s="74"/>
      <c r="B2897" s="48" t="s">
        <v>505</v>
      </c>
      <c r="C2897" s="49" t="s">
        <v>251</v>
      </c>
      <c r="D2897" s="55">
        <v>1</v>
      </c>
      <c r="E2897" s="78">
        <v>0.05</v>
      </c>
      <c r="F2897" s="34"/>
      <c r="G2897" s="35"/>
      <c r="H2897" s="36"/>
      <c r="I2897" s="37"/>
      <c r="J2897" s="37"/>
      <c r="K2897" s="38"/>
      <c r="L2897" s="38"/>
      <c r="M2897" s="38"/>
      <c r="N2897" s="36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</row>
    <row r="2898" spans="1:28" s="33" customFormat="1" ht="31" customHeight="1" collapsed="1" x14ac:dyDescent="0.35">
      <c r="A2898" s="24">
        <f>A2896+1</f>
        <v>1230</v>
      </c>
      <c r="B2898" s="59" t="s">
        <v>506</v>
      </c>
      <c r="C2898" s="26" t="s">
        <v>58</v>
      </c>
      <c r="D2898" s="73">
        <v>12</v>
      </c>
      <c r="E2898" s="28"/>
      <c r="F2898" s="29"/>
      <c r="G2898" s="30"/>
      <c r="H2898" s="31"/>
      <c r="I2898" s="30"/>
      <c r="J2898" s="30"/>
      <c r="K2898" s="32"/>
      <c r="L2898" s="32"/>
      <c r="M2898" s="32"/>
      <c r="N2898" s="31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</row>
    <row r="2899" spans="1:28" s="39" customFormat="1" ht="46.3" hidden="1" outlineLevel="1" x14ac:dyDescent="0.35">
      <c r="A2899" s="74"/>
      <c r="B2899" s="48" t="s">
        <v>507</v>
      </c>
      <c r="C2899" s="49" t="s">
        <v>251</v>
      </c>
      <c r="D2899" s="55">
        <v>12</v>
      </c>
      <c r="E2899" s="78">
        <v>0.70799999999999996</v>
      </c>
      <c r="F2899" s="34"/>
      <c r="G2899" s="35"/>
      <c r="H2899" s="36"/>
      <c r="I2899" s="37"/>
      <c r="J2899" s="37"/>
      <c r="K2899" s="38"/>
      <c r="L2899" s="38"/>
      <c r="M2899" s="38"/>
      <c r="N2899" s="36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</row>
    <row r="2900" spans="1:28" s="33" customFormat="1" ht="31" customHeight="1" collapsed="1" x14ac:dyDescent="0.35">
      <c r="A2900" s="24">
        <f>A2898+1</f>
        <v>1231</v>
      </c>
      <c r="B2900" s="59" t="s">
        <v>508</v>
      </c>
      <c r="C2900" s="26" t="s">
        <v>58</v>
      </c>
      <c r="D2900" s="73">
        <v>7</v>
      </c>
      <c r="E2900" s="28"/>
      <c r="F2900" s="29"/>
      <c r="G2900" s="30"/>
      <c r="H2900" s="31"/>
      <c r="I2900" s="30"/>
      <c r="J2900" s="30"/>
      <c r="K2900" s="32"/>
      <c r="L2900" s="32"/>
      <c r="M2900" s="32"/>
      <c r="N2900" s="31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</row>
    <row r="2901" spans="1:28" s="39" customFormat="1" ht="46.3" hidden="1" outlineLevel="1" x14ac:dyDescent="0.35">
      <c r="A2901" s="74"/>
      <c r="B2901" s="48" t="s">
        <v>509</v>
      </c>
      <c r="C2901" s="49" t="s">
        <v>251</v>
      </c>
      <c r="D2901" s="55">
        <v>7</v>
      </c>
      <c r="E2901" s="78">
        <v>0.88900000000000001</v>
      </c>
      <c r="F2901" s="34"/>
      <c r="G2901" s="35"/>
      <c r="H2901" s="36"/>
      <c r="I2901" s="37"/>
      <c r="J2901" s="37"/>
      <c r="K2901" s="38"/>
      <c r="L2901" s="38"/>
      <c r="M2901" s="38"/>
      <c r="N2901" s="36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</row>
    <row r="2902" spans="1:28" s="39" customFormat="1" ht="18" hidden="1" outlineLevel="1" x14ac:dyDescent="0.35">
      <c r="A2902" s="74"/>
      <c r="B2902" s="48" t="s">
        <v>988</v>
      </c>
      <c r="C2902" s="49" t="s">
        <v>251</v>
      </c>
      <c r="D2902" s="55">
        <v>1</v>
      </c>
      <c r="E2902" s="78">
        <v>0.05</v>
      </c>
      <c r="F2902" s="34"/>
      <c r="G2902" s="35"/>
      <c r="H2902" s="36"/>
      <c r="I2902" s="37"/>
      <c r="J2902" s="37"/>
      <c r="K2902" s="38"/>
      <c r="L2902" s="38"/>
      <c r="M2902" s="38"/>
      <c r="N2902" s="36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</row>
    <row r="2903" spans="1:28" s="33" customFormat="1" ht="31" customHeight="1" collapsed="1" x14ac:dyDescent="0.35">
      <c r="A2903" s="24">
        <f>A2900+1</f>
        <v>1232</v>
      </c>
      <c r="B2903" s="59" t="s">
        <v>512</v>
      </c>
      <c r="C2903" s="26" t="s">
        <v>58</v>
      </c>
      <c r="D2903" s="73">
        <v>3</v>
      </c>
      <c r="E2903" s="28"/>
      <c r="F2903" s="29"/>
      <c r="G2903" s="30"/>
      <c r="H2903" s="31"/>
      <c r="I2903" s="30"/>
      <c r="J2903" s="30"/>
      <c r="K2903" s="32"/>
      <c r="L2903" s="32"/>
      <c r="M2903" s="32"/>
      <c r="N2903" s="31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</row>
    <row r="2904" spans="1:28" s="39" customFormat="1" ht="30.9" hidden="1" outlineLevel="1" x14ac:dyDescent="0.35">
      <c r="A2904" s="74"/>
      <c r="B2904" s="48" t="s">
        <v>513</v>
      </c>
      <c r="C2904" s="49" t="s">
        <v>251</v>
      </c>
      <c r="D2904" s="55">
        <v>3</v>
      </c>
      <c r="E2904" s="78">
        <v>0.03</v>
      </c>
      <c r="F2904" s="34"/>
      <c r="G2904" s="35"/>
      <c r="H2904" s="36"/>
      <c r="I2904" s="37"/>
      <c r="J2904" s="37"/>
      <c r="K2904" s="38"/>
      <c r="L2904" s="38"/>
      <c r="M2904" s="38"/>
      <c r="N2904" s="36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</row>
    <row r="2905" spans="1:28" s="33" customFormat="1" ht="31" customHeight="1" collapsed="1" x14ac:dyDescent="0.35">
      <c r="A2905" s="24">
        <f>A2903+1</f>
        <v>1233</v>
      </c>
      <c r="B2905" s="59" t="s">
        <v>514</v>
      </c>
      <c r="C2905" s="26" t="s">
        <v>58</v>
      </c>
      <c r="D2905" s="73">
        <v>2</v>
      </c>
      <c r="E2905" s="28"/>
      <c r="F2905" s="29"/>
      <c r="G2905" s="30"/>
      <c r="H2905" s="31"/>
      <c r="I2905" s="30"/>
      <c r="J2905" s="30"/>
      <c r="K2905" s="32"/>
      <c r="L2905" s="32"/>
      <c r="M2905" s="32"/>
      <c r="N2905" s="31"/>
      <c r="O2905" s="32"/>
      <c r="P2905" s="32"/>
      <c r="Q2905" s="32"/>
      <c r="R2905" s="32"/>
      <c r="S2905" s="32"/>
      <c r="T2905" s="32"/>
      <c r="U2905" s="32"/>
      <c r="V2905" s="32"/>
      <c r="W2905" s="32"/>
      <c r="X2905" s="32"/>
      <c r="Y2905" s="32"/>
      <c r="Z2905" s="32"/>
      <c r="AA2905" s="32"/>
      <c r="AB2905" s="32"/>
    </row>
    <row r="2906" spans="1:28" s="39" customFormat="1" ht="30.9" hidden="1" outlineLevel="1" x14ac:dyDescent="0.35">
      <c r="A2906" s="74"/>
      <c r="B2906" s="48" t="s">
        <v>515</v>
      </c>
      <c r="C2906" s="49" t="s">
        <v>251</v>
      </c>
      <c r="D2906" s="55">
        <v>1</v>
      </c>
      <c r="E2906" s="78">
        <v>1.2999999999999999E-2</v>
      </c>
      <c r="F2906" s="34"/>
      <c r="G2906" s="35"/>
      <c r="H2906" s="36"/>
      <c r="I2906" s="37"/>
      <c r="J2906" s="37"/>
      <c r="K2906" s="38"/>
      <c r="L2906" s="38"/>
      <c r="M2906" s="38"/>
      <c r="N2906" s="36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</row>
    <row r="2907" spans="1:28" s="39" customFormat="1" ht="46.3" hidden="1" outlineLevel="1" x14ac:dyDescent="0.35">
      <c r="A2907" s="74"/>
      <c r="B2907" s="48" t="s">
        <v>516</v>
      </c>
      <c r="C2907" s="49" t="s">
        <v>251</v>
      </c>
      <c r="D2907" s="55">
        <v>1</v>
      </c>
      <c r="E2907" s="78">
        <v>1.4999999999999999E-2</v>
      </c>
      <c r="F2907" s="34"/>
      <c r="G2907" s="35"/>
      <c r="H2907" s="36"/>
      <c r="I2907" s="37"/>
      <c r="J2907" s="37"/>
      <c r="K2907" s="38"/>
      <c r="L2907" s="38"/>
      <c r="M2907" s="38"/>
      <c r="N2907" s="36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</row>
    <row r="2908" spans="1:28" s="33" customFormat="1" ht="30.9" collapsed="1" x14ac:dyDescent="0.35">
      <c r="A2908" s="24">
        <f>A2905+1</f>
        <v>1234</v>
      </c>
      <c r="B2908" s="71" t="s">
        <v>517</v>
      </c>
      <c r="C2908" s="40" t="s">
        <v>132</v>
      </c>
      <c r="D2908" s="108">
        <v>14.7</v>
      </c>
      <c r="E2908" s="79" t="s">
        <v>151</v>
      </c>
      <c r="F2908" s="29"/>
      <c r="G2908" s="30"/>
      <c r="H2908" s="31"/>
      <c r="I2908" s="30"/>
      <c r="J2908" s="30"/>
      <c r="K2908" s="32"/>
      <c r="L2908" s="32"/>
      <c r="M2908" s="32"/>
      <c r="N2908" s="31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</row>
    <row r="2909" spans="1:28" s="39" customFormat="1" ht="36" hidden="1" customHeight="1" outlineLevel="1" x14ac:dyDescent="0.35">
      <c r="A2909" s="74"/>
      <c r="B2909" s="48" t="s">
        <v>518</v>
      </c>
      <c r="C2909" s="49" t="s">
        <v>14</v>
      </c>
      <c r="D2909" s="65">
        <f>14.7*2.76/1000*1.1</f>
        <v>4.4629200000000001E-2</v>
      </c>
      <c r="E2909" s="76"/>
      <c r="F2909" s="34"/>
      <c r="G2909" s="35"/>
      <c r="H2909" s="36"/>
      <c r="I2909" s="37"/>
      <c r="J2909" s="37"/>
      <c r="K2909" s="38"/>
      <c r="L2909" s="38"/>
      <c r="M2909" s="38"/>
      <c r="N2909" s="36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</row>
    <row r="2910" spans="1:28" s="58" customFormat="1" ht="30" hidden="1" customHeight="1" outlineLevel="1" x14ac:dyDescent="0.4">
      <c r="A2910" s="54"/>
      <c r="B2910" s="48" t="s">
        <v>519</v>
      </c>
      <c r="C2910" s="49" t="s">
        <v>58</v>
      </c>
      <c r="D2910" s="55">
        <v>2</v>
      </c>
      <c r="E2910" s="51">
        <v>2E-3</v>
      </c>
      <c r="F2910" s="57"/>
    </row>
    <row r="2911" spans="1:28" s="58" customFormat="1" ht="30" hidden="1" customHeight="1" outlineLevel="1" x14ac:dyDescent="0.4">
      <c r="A2911" s="54"/>
      <c r="B2911" s="48" t="s">
        <v>521</v>
      </c>
      <c r="C2911" s="49" t="s">
        <v>58</v>
      </c>
      <c r="D2911" s="55">
        <v>7</v>
      </c>
      <c r="E2911" s="51">
        <v>1E-3</v>
      </c>
      <c r="F2911" s="57"/>
    </row>
    <row r="2912" spans="1:28" s="39" customFormat="1" ht="36" hidden="1" customHeight="1" outlineLevel="1" x14ac:dyDescent="0.35">
      <c r="A2912" s="74"/>
      <c r="B2912" s="48" t="s">
        <v>522</v>
      </c>
      <c r="C2912" s="49" t="s">
        <v>58</v>
      </c>
      <c r="D2912" s="49">
        <v>2</v>
      </c>
      <c r="E2912" s="78">
        <v>1E-3</v>
      </c>
      <c r="F2912" s="34"/>
      <c r="G2912" s="35"/>
      <c r="H2912" s="36"/>
      <c r="I2912" s="37"/>
      <c r="J2912" s="37"/>
      <c r="K2912" s="38"/>
      <c r="L2912" s="38"/>
      <c r="M2912" s="38"/>
      <c r="N2912" s="36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</row>
    <row r="2913" spans="1:28" s="33" customFormat="1" ht="30.9" collapsed="1" x14ac:dyDescent="0.35">
      <c r="A2913" s="24">
        <f>A2908+1</f>
        <v>1235</v>
      </c>
      <c r="B2913" s="71" t="s">
        <v>523</v>
      </c>
      <c r="C2913" s="40" t="s">
        <v>132</v>
      </c>
      <c r="D2913" s="108">
        <v>6</v>
      </c>
      <c r="E2913" s="79" t="s">
        <v>151</v>
      </c>
      <c r="F2913" s="29"/>
      <c r="G2913" s="30"/>
      <c r="H2913" s="31"/>
      <c r="I2913" s="30"/>
      <c r="J2913" s="30"/>
      <c r="K2913" s="32"/>
      <c r="L2913" s="32"/>
      <c r="M2913" s="32"/>
      <c r="N2913" s="31"/>
      <c r="O2913" s="32"/>
      <c r="P2913" s="32"/>
      <c r="Q2913" s="32"/>
      <c r="R2913" s="32"/>
      <c r="S2913" s="32"/>
      <c r="T2913" s="32"/>
      <c r="U2913" s="32"/>
      <c r="V2913" s="32"/>
      <c r="W2913" s="32"/>
      <c r="X2913" s="32"/>
      <c r="Y2913" s="32"/>
      <c r="Z2913" s="32"/>
      <c r="AA2913" s="32"/>
      <c r="AB2913" s="32"/>
    </row>
    <row r="2914" spans="1:28" s="39" customFormat="1" ht="36" hidden="1" customHeight="1" outlineLevel="1" x14ac:dyDescent="0.35">
      <c r="A2914" s="74"/>
      <c r="B2914" s="48" t="s">
        <v>524</v>
      </c>
      <c r="C2914" s="49" t="s">
        <v>14</v>
      </c>
      <c r="D2914" s="65">
        <f>6*5.23/1000*1.1</f>
        <v>3.4518000000000007E-2</v>
      </c>
      <c r="E2914" s="76"/>
      <c r="F2914" s="34"/>
      <c r="G2914" s="35"/>
      <c r="H2914" s="36"/>
      <c r="I2914" s="37"/>
      <c r="J2914" s="37"/>
      <c r="K2914" s="38"/>
      <c r="L2914" s="38"/>
      <c r="M2914" s="38"/>
      <c r="N2914" s="36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</row>
    <row r="2915" spans="1:28" s="58" customFormat="1" ht="30" hidden="1" customHeight="1" outlineLevel="1" x14ac:dyDescent="0.4">
      <c r="A2915" s="54"/>
      <c r="B2915" s="48" t="s">
        <v>525</v>
      </c>
      <c r="C2915" s="49" t="s">
        <v>58</v>
      </c>
      <c r="D2915" s="55">
        <v>2</v>
      </c>
      <c r="E2915" s="51">
        <v>1E-3</v>
      </c>
      <c r="F2915" s="57"/>
    </row>
    <row r="2916" spans="1:28" s="58" customFormat="1" ht="30" hidden="1" customHeight="1" outlineLevel="1" x14ac:dyDescent="0.4">
      <c r="A2916" s="54"/>
      <c r="B2916" s="48" t="s">
        <v>527</v>
      </c>
      <c r="C2916" s="49" t="s">
        <v>58</v>
      </c>
      <c r="D2916" s="55">
        <v>2</v>
      </c>
      <c r="E2916" s="51">
        <v>8.0000000000000002E-3</v>
      </c>
      <c r="F2916" s="57"/>
    </row>
    <row r="2917" spans="1:28" s="33" customFormat="1" ht="30.9" collapsed="1" x14ac:dyDescent="0.35">
      <c r="A2917" s="24">
        <f>A2913+1</f>
        <v>1236</v>
      </c>
      <c r="B2917" s="71" t="s">
        <v>528</v>
      </c>
      <c r="C2917" s="40" t="s">
        <v>132</v>
      </c>
      <c r="D2917" s="108">
        <v>23.2</v>
      </c>
      <c r="E2917" s="79" t="s">
        <v>151</v>
      </c>
      <c r="F2917" s="29"/>
      <c r="G2917" s="30"/>
      <c r="H2917" s="31"/>
      <c r="I2917" s="30"/>
      <c r="J2917" s="30"/>
      <c r="K2917" s="32"/>
      <c r="L2917" s="32"/>
      <c r="M2917" s="32"/>
      <c r="N2917" s="31"/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2"/>
      <c r="AA2917" s="32"/>
      <c r="AB2917" s="32"/>
    </row>
    <row r="2918" spans="1:28" s="39" customFormat="1" ht="36" hidden="1" customHeight="1" outlineLevel="1" x14ac:dyDescent="0.35">
      <c r="A2918" s="74"/>
      <c r="B2918" s="48" t="s">
        <v>529</v>
      </c>
      <c r="C2918" s="49" t="s">
        <v>14</v>
      </c>
      <c r="D2918" s="65">
        <f>23.2*12.28/1000*1.1</f>
        <v>0.31338559999999999</v>
      </c>
      <c r="E2918" s="76"/>
      <c r="F2918" s="34"/>
      <c r="G2918" s="35"/>
      <c r="H2918" s="36"/>
      <c r="I2918" s="37"/>
      <c r="J2918" s="37"/>
      <c r="K2918" s="38"/>
      <c r="L2918" s="38"/>
      <c r="M2918" s="38"/>
      <c r="N2918" s="36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</row>
    <row r="2919" spans="1:28" s="58" customFormat="1" ht="30" hidden="1" customHeight="1" outlineLevel="1" x14ac:dyDescent="0.4">
      <c r="A2919" s="54"/>
      <c r="B2919" s="48" t="s">
        <v>530</v>
      </c>
      <c r="C2919" s="49" t="s">
        <v>58</v>
      </c>
      <c r="D2919" s="55">
        <v>2</v>
      </c>
      <c r="E2919" s="51">
        <v>5.0000000000000001E-3</v>
      </c>
      <c r="F2919" s="57"/>
    </row>
    <row r="2920" spans="1:28" s="39" customFormat="1" ht="36" hidden="1" customHeight="1" outlineLevel="1" x14ac:dyDescent="0.35">
      <c r="A2920" s="74"/>
      <c r="B2920" s="48" t="s">
        <v>532</v>
      </c>
      <c r="C2920" s="49" t="s">
        <v>58</v>
      </c>
      <c r="D2920" s="49">
        <v>1</v>
      </c>
      <c r="E2920" s="78">
        <v>4.0000000000000001E-3</v>
      </c>
      <c r="F2920" s="34"/>
      <c r="G2920" s="35"/>
      <c r="H2920" s="36"/>
      <c r="I2920" s="37"/>
      <c r="J2920" s="37"/>
      <c r="K2920" s="38"/>
      <c r="L2920" s="38"/>
      <c r="M2920" s="38"/>
      <c r="N2920" s="36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</row>
    <row r="2921" spans="1:28" s="39" customFormat="1" ht="36" hidden="1" customHeight="1" outlineLevel="1" x14ac:dyDescent="0.35">
      <c r="A2921" s="74"/>
      <c r="B2921" s="48" t="s">
        <v>989</v>
      </c>
      <c r="C2921" s="49" t="s">
        <v>58</v>
      </c>
      <c r="D2921" s="49">
        <v>2</v>
      </c>
      <c r="E2921" s="78">
        <v>1.2999999999999999E-2</v>
      </c>
      <c r="F2921" s="34"/>
      <c r="G2921" s="35"/>
      <c r="H2921" s="36"/>
      <c r="I2921" s="37"/>
      <c r="J2921" s="37"/>
      <c r="K2921" s="38"/>
      <c r="L2921" s="38"/>
      <c r="M2921" s="38"/>
      <c r="N2921" s="36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</row>
    <row r="2922" spans="1:28" s="33" customFormat="1" ht="30.9" collapsed="1" x14ac:dyDescent="0.35">
      <c r="A2922" s="24">
        <f>A2917+1</f>
        <v>1237</v>
      </c>
      <c r="B2922" s="71" t="s">
        <v>533</v>
      </c>
      <c r="C2922" s="40" t="s">
        <v>132</v>
      </c>
      <c r="D2922" s="108">
        <v>105.1</v>
      </c>
      <c r="E2922" s="79" t="s">
        <v>151</v>
      </c>
      <c r="F2922" s="29"/>
      <c r="G2922" s="30"/>
      <c r="H2922" s="31"/>
      <c r="I2922" s="30"/>
      <c r="J2922" s="30"/>
      <c r="K2922" s="32"/>
      <c r="L2922" s="32"/>
      <c r="M2922" s="32"/>
      <c r="N2922" s="31"/>
      <c r="O2922" s="32"/>
      <c r="P2922" s="32"/>
      <c r="Q2922" s="32"/>
      <c r="R2922" s="32"/>
      <c r="S2922" s="32"/>
      <c r="T2922" s="32"/>
      <c r="U2922" s="32"/>
      <c r="V2922" s="32"/>
      <c r="W2922" s="32"/>
      <c r="X2922" s="32"/>
      <c r="Y2922" s="32"/>
      <c r="Z2922" s="32"/>
      <c r="AA2922" s="32"/>
      <c r="AB2922" s="32"/>
    </row>
    <row r="2923" spans="1:28" s="39" customFormat="1" ht="36" hidden="1" customHeight="1" outlineLevel="1" x14ac:dyDescent="0.35">
      <c r="A2923" s="74"/>
      <c r="B2923" s="48" t="s">
        <v>534</v>
      </c>
      <c r="C2923" s="49" t="s">
        <v>14</v>
      </c>
      <c r="D2923" s="65">
        <f>105.1*15.98/1000*1.1</f>
        <v>1.8474478000000003</v>
      </c>
      <c r="E2923" s="76"/>
      <c r="F2923" s="34"/>
      <c r="G2923" s="35"/>
      <c r="H2923" s="36"/>
      <c r="I2923" s="37"/>
      <c r="J2923" s="37"/>
      <c r="K2923" s="38"/>
      <c r="L2923" s="38"/>
      <c r="M2923" s="38"/>
      <c r="N2923" s="36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</row>
    <row r="2924" spans="1:28" s="58" customFormat="1" ht="30" hidden="1" customHeight="1" outlineLevel="1" x14ac:dyDescent="0.4">
      <c r="A2924" s="54"/>
      <c r="B2924" s="48" t="s">
        <v>535</v>
      </c>
      <c r="C2924" s="49" t="s">
        <v>58</v>
      </c>
      <c r="D2924" s="55">
        <v>23</v>
      </c>
      <c r="E2924" s="51">
        <v>8.6999999999999994E-2</v>
      </c>
      <c r="F2924" s="57"/>
    </row>
    <row r="2925" spans="1:28" s="39" customFormat="1" ht="36" hidden="1" customHeight="1" outlineLevel="1" x14ac:dyDescent="0.35">
      <c r="A2925" s="74"/>
      <c r="B2925" s="48" t="s">
        <v>536</v>
      </c>
      <c r="C2925" s="49" t="s">
        <v>58</v>
      </c>
      <c r="D2925" s="49">
        <v>6</v>
      </c>
      <c r="E2925" s="78">
        <v>2.7E-2</v>
      </c>
      <c r="F2925" s="34"/>
      <c r="G2925" s="35"/>
      <c r="H2925" s="36"/>
      <c r="I2925" s="37"/>
      <c r="J2925" s="37"/>
      <c r="K2925" s="38"/>
      <c r="L2925" s="38"/>
      <c r="M2925" s="38"/>
      <c r="N2925" s="36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</row>
    <row r="2926" spans="1:28" s="39" customFormat="1" ht="36" hidden="1" customHeight="1" outlineLevel="1" x14ac:dyDescent="0.35">
      <c r="A2926" s="74"/>
      <c r="B2926" s="48" t="s">
        <v>537</v>
      </c>
      <c r="C2926" s="49" t="s">
        <v>58</v>
      </c>
      <c r="D2926" s="49">
        <v>4</v>
      </c>
      <c r="E2926" s="78">
        <v>1.6E-2</v>
      </c>
      <c r="F2926" s="34"/>
      <c r="G2926" s="35"/>
      <c r="H2926" s="36"/>
      <c r="I2926" s="37"/>
      <c r="J2926" s="37"/>
      <c r="K2926" s="38"/>
      <c r="L2926" s="38"/>
      <c r="M2926" s="38"/>
      <c r="N2926" s="36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</row>
    <row r="2927" spans="1:28" s="39" customFormat="1" ht="36" hidden="1" customHeight="1" outlineLevel="1" x14ac:dyDescent="0.35">
      <c r="A2927" s="74"/>
      <c r="B2927" s="48" t="s">
        <v>990</v>
      </c>
      <c r="C2927" s="49" t="s">
        <v>58</v>
      </c>
      <c r="D2927" s="49">
        <v>1</v>
      </c>
      <c r="E2927" s="78">
        <v>4.0000000000000001E-3</v>
      </c>
      <c r="F2927" s="34"/>
      <c r="G2927" s="35"/>
      <c r="H2927" s="36"/>
      <c r="I2927" s="37"/>
      <c r="J2927" s="37"/>
      <c r="K2927" s="38"/>
      <c r="L2927" s="38"/>
      <c r="M2927" s="38"/>
      <c r="N2927" s="36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</row>
    <row r="2928" spans="1:28" s="39" customFormat="1" ht="36" hidden="1" customHeight="1" outlineLevel="1" x14ac:dyDescent="0.35">
      <c r="A2928" s="74"/>
      <c r="B2928" s="48" t="s">
        <v>539</v>
      </c>
      <c r="C2928" s="49" t="s">
        <v>58</v>
      </c>
      <c r="D2928" s="49">
        <v>2</v>
      </c>
      <c r="E2928" s="78">
        <v>3.2000000000000001E-2</v>
      </c>
      <c r="F2928" s="34"/>
      <c r="G2928" s="35"/>
      <c r="H2928" s="36"/>
      <c r="I2928" s="37"/>
      <c r="J2928" s="37"/>
      <c r="K2928" s="38"/>
      <c r="L2928" s="38"/>
      <c r="M2928" s="38"/>
      <c r="N2928" s="36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</row>
    <row r="2929" spans="1:28" s="33" customFormat="1" ht="30.9" collapsed="1" x14ac:dyDescent="0.35">
      <c r="A2929" s="24">
        <f>A2922+1</f>
        <v>1238</v>
      </c>
      <c r="B2929" s="71" t="s">
        <v>540</v>
      </c>
      <c r="C2929" s="40" t="s">
        <v>132</v>
      </c>
      <c r="D2929" s="108">
        <v>74.2</v>
      </c>
      <c r="E2929" s="79" t="s">
        <v>151</v>
      </c>
      <c r="F2929" s="29"/>
      <c r="G2929" s="30"/>
      <c r="H2929" s="31"/>
      <c r="I2929" s="30"/>
      <c r="J2929" s="30"/>
      <c r="K2929" s="32"/>
      <c r="L2929" s="32"/>
      <c r="M2929" s="32"/>
      <c r="N2929" s="31"/>
      <c r="O2929" s="32"/>
      <c r="P2929" s="32"/>
      <c r="Q2929" s="32"/>
      <c r="R2929" s="32"/>
      <c r="S2929" s="32"/>
      <c r="T2929" s="32"/>
      <c r="U2929" s="32"/>
      <c r="V2929" s="32"/>
      <c r="W2929" s="32"/>
      <c r="X2929" s="32"/>
      <c r="Y2929" s="32"/>
      <c r="Z2929" s="32"/>
      <c r="AA2929" s="32"/>
      <c r="AB2929" s="32"/>
    </row>
    <row r="2930" spans="1:28" s="39" customFormat="1" ht="36" hidden="1" customHeight="1" outlineLevel="1" x14ac:dyDescent="0.35">
      <c r="A2930" s="74"/>
      <c r="B2930" s="48" t="s">
        <v>541</v>
      </c>
      <c r="C2930" s="49" t="s">
        <v>14</v>
      </c>
      <c r="D2930" s="65">
        <f>74.2*22.64/1000*1.1</f>
        <v>1.8478768000000001</v>
      </c>
      <c r="E2930" s="76"/>
      <c r="F2930" s="34"/>
      <c r="G2930" s="35"/>
      <c r="H2930" s="36"/>
      <c r="I2930" s="37"/>
      <c r="J2930" s="37"/>
      <c r="K2930" s="38"/>
      <c r="L2930" s="38"/>
      <c r="M2930" s="38"/>
      <c r="N2930" s="36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</row>
    <row r="2931" spans="1:28" s="58" customFormat="1" ht="30" hidden="1" customHeight="1" outlineLevel="1" x14ac:dyDescent="0.4">
      <c r="A2931" s="54"/>
      <c r="B2931" s="48" t="s">
        <v>542</v>
      </c>
      <c r="C2931" s="49" t="s">
        <v>58</v>
      </c>
      <c r="D2931" s="55">
        <v>17</v>
      </c>
      <c r="E2931" s="51">
        <v>0.13800000000000001</v>
      </c>
      <c r="F2931" s="57"/>
    </row>
    <row r="2932" spans="1:28" s="39" customFormat="1" ht="36" hidden="1" customHeight="1" outlineLevel="1" x14ac:dyDescent="0.35">
      <c r="A2932" s="74"/>
      <c r="B2932" s="48" t="s">
        <v>543</v>
      </c>
      <c r="C2932" s="49" t="s">
        <v>58</v>
      </c>
      <c r="D2932" s="49">
        <v>6</v>
      </c>
      <c r="E2932" s="78">
        <v>0.04</v>
      </c>
      <c r="F2932" s="34"/>
      <c r="G2932" s="35"/>
      <c r="H2932" s="36"/>
      <c r="I2932" s="37"/>
      <c r="J2932" s="37"/>
      <c r="K2932" s="38"/>
      <c r="L2932" s="38"/>
      <c r="M2932" s="38"/>
      <c r="N2932" s="36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</row>
    <row r="2933" spans="1:28" s="39" customFormat="1" ht="36" hidden="1" customHeight="1" outlineLevel="1" x14ac:dyDescent="0.35">
      <c r="A2933" s="74"/>
      <c r="B2933" s="48" t="s">
        <v>544</v>
      </c>
      <c r="C2933" s="49" t="s">
        <v>58</v>
      </c>
      <c r="D2933" s="49">
        <v>2</v>
      </c>
      <c r="E2933" s="78">
        <v>2.8000000000000001E-2</v>
      </c>
      <c r="F2933" s="34"/>
      <c r="G2933" s="35"/>
      <c r="H2933" s="36"/>
      <c r="I2933" s="37"/>
      <c r="J2933" s="37"/>
      <c r="K2933" s="38"/>
      <c r="L2933" s="38"/>
      <c r="M2933" s="38"/>
      <c r="N2933" s="36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</row>
    <row r="2934" spans="1:28" s="39" customFormat="1" ht="36" hidden="1" customHeight="1" outlineLevel="1" x14ac:dyDescent="0.35">
      <c r="A2934" s="74"/>
      <c r="B2934" s="48" t="s">
        <v>991</v>
      </c>
      <c r="C2934" s="49" t="s">
        <v>58</v>
      </c>
      <c r="D2934" s="49">
        <v>2</v>
      </c>
      <c r="E2934" s="78">
        <v>7.3999999999999996E-2</v>
      </c>
      <c r="F2934" s="34"/>
      <c r="G2934" s="35"/>
      <c r="H2934" s="36"/>
      <c r="I2934" s="37"/>
      <c r="J2934" s="37"/>
      <c r="K2934" s="38"/>
      <c r="L2934" s="38"/>
      <c r="M2934" s="38"/>
      <c r="N2934" s="36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</row>
    <row r="2935" spans="1:28" s="58" customFormat="1" ht="30" customHeight="1" collapsed="1" x14ac:dyDescent="0.4">
      <c r="A2935" s="24">
        <f>A2929+1</f>
        <v>1239</v>
      </c>
      <c r="B2935" s="59" t="s">
        <v>158</v>
      </c>
      <c r="C2935" s="70" t="s">
        <v>67</v>
      </c>
      <c r="D2935" s="40" t="s">
        <v>992</v>
      </c>
      <c r="E2935" s="66"/>
      <c r="F2935" s="57"/>
    </row>
    <row r="2936" spans="1:28" s="58" customFormat="1" ht="30" hidden="1" customHeight="1" outlineLevel="1" x14ac:dyDescent="0.4">
      <c r="A2936" s="54"/>
      <c r="B2936" s="48" t="s">
        <v>209</v>
      </c>
      <c r="C2936" s="49" t="s">
        <v>58</v>
      </c>
      <c r="D2936" s="55">
        <v>7</v>
      </c>
      <c r="E2936" s="51">
        <v>8.0000000000000002E-3</v>
      </c>
      <c r="F2936" s="57"/>
    </row>
    <row r="2937" spans="1:28" s="58" customFormat="1" ht="30" hidden="1" customHeight="1" outlineLevel="1" x14ac:dyDescent="0.4">
      <c r="A2937" s="54"/>
      <c r="B2937" s="48" t="s">
        <v>210</v>
      </c>
      <c r="C2937" s="49" t="s">
        <v>58</v>
      </c>
      <c r="D2937" s="55">
        <v>2</v>
      </c>
      <c r="E2937" s="51">
        <v>4.0000000000000001E-3</v>
      </c>
      <c r="F2937" s="57"/>
    </row>
    <row r="2938" spans="1:28" s="58" customFormat="1" ht="30" hidden="1" customHeight="1" outlineLevel="1" x14ac:dyDescent="0.4">
      <c r="A2938" s="54"/>
      <c r="B2938" s="48" t="s">
        <v>426</v>
      </c>
      <c r="C2938" s="49" t="s">
        <v>58</v>
      </c>
      <c r="D2938" s="55">
        <v>5</v>
      </c>
      <c r="E2938" s="51">
        <v>1.0999999999999999E-2</v>
      </c>
      <c r="F2938" s="57"/>
    </row>
    <row r="2939" spans="1:28" s="58" customFormat="1" ht="30" hidden="1" customHeight="1" outlineLevel="1" x14ac:dyDescent="0.4">
      <c r="A2939" s="54"/>
      <c r="B2939" s="48" t="s">
        <v>552</v>
      </c>
      <c r="C2939" s="49" t="s">
        <v>58</v>
      </c>
      <c r="D2939" s="55">
        <v>27</v>
      </c>
      <c r="E2939" s="51">
        <v>0.14599999999999999</v>
      </c>
      <c r="F2939" s="57"/>
    </row>
    <row r="2940" spans="1:28" s="58" customFormat="1" ht="30" hidden="1" customHeight="1" outlineLevel="1" x14ac:dyDescent="0.4">
      <c r="A2940" s="54"/>
      <c r="B2940" s="48" t="s">
        <v>553</v>
      </c>
      <c r="C2940" s="49" t="s">
        <v>58</v>
      </c>
      <c r="D2940" s="55">
        <v>18</v>
      </c>
      <c r="E2940" s="51">
        <v>0.124</v>
      </c>
      <c r="F2940" s="57"/>
    </row>
    <row r="2941" spans="1:28" s="58" customFormat="1" ht="30" customHeight="1" collapsed="1" x14ac:dyDescent="0.4">
      <c r="A2941" s="24">
        <f>A2935+1</f>
        <v>1240</v>
      </c>
      <c r="B2941" s="71" t="s">
        <v>240</v>
      </c>
      <c r="C2941" s="40" t="s">
        <v>58</v>
      </c>
      <c r="D2941" s="82">
        <v>29</v>
      </c>
      <c r="E2941" s="66"/>
      <c r="F2941" s="57"/>
    </row>
    <row r="2942" spans="1:28" s="58" customFormat="1" ht="30" hidden="1" customHeight="1" outlineLevel="1" x14ac:dyDescent="0.4">
      <c r="A2942" s="54"/>
      <c r="B2942" s="48" t="s">
        <v>241</v>
      </c>
      <c r="C2942" s="49" t="s">
        <v>14</v>
      </c>
      <c r="D2942" s="65">
        <f>0.6*1.88*29/1000</f>
        <v>3.2711999999999998E-2</v>
      </c>
      <c r="E2942" s="51"/>
      <c r="F2942" s="57"/>
    </row>
    <row r="2943" spans="1:28" s="58" customFormat="1" ht="30" hidden="1" customHeight="1" outlineLevel="1" x14ac:dyDescent="0.4">
      <c r="A2943" s="54"/>
      <c r="B2943" s="48" t="s">
        <v>242</v>
      </c>
      <c r="C2943" s="49" t="s">
        <v>58</v>
      </c>
      <c r="D2943" s="55">
        <f>4*29</f>
        <v>116</v>
      </c>
      <c r="E2943" s="51"/>
      <c r="F2943" s="57"/>
    </row>
    <row r="2944" spans="1:28" s="58" customFormat="1" ht="30" hidden="1" customHeight="1" outlineLevel="1" x14ac:dyDescent="0.4">
      <c r="A2944" s="54"/>
      <c r="B2944" s="48" t="s">
        <v>243</v>
      </c>
      <c r="C2944" s="49" t="s">
        <v>58</v>
      </c>
      <c r="D2944" s="55">
        <f>12*29</f>
        <v>348</v>
      </c>
      <c r="E2944" s="51"/>
      <c r="F2944" s="57"/>
    </row>
    <row r="2945" spans="1:203" s="58" customFormat="1" ht="30" hidden="1" customHeight="1" outlineLevel="1" x14ac:dyDescent="0.4">
      <c r="A2945" s="54"/>
      <c r="B2945" s="48" t="s">
        <v>244</v>
      </c>
      <c r="C2945" s="49" t="s">
        <v>58</v>
      </c>
      <c r="D2945" s="55">
        <f>4*29</f>
        <v>116</v>
      </c>
      <c r="E2945" s="51"/>
      <c r="F2945" s="57"/>
    </row>
    <row r="2946" spans="1:203" s="58" customFormat="1" ht="30" hidden="1" customHeight="1" outlineLevel="1" x14ac:dyDescent="0.4">
      <c r="A2946" s="54"/>
      <c r="B2946" s="48" t="s">
        <v>245</v>
      </c>
      <c r="C2946" s="49" t="s">
        <v>58</v>
      </c>
      <c r="D2946" s="55">
        <f>8*29</f>
        <v>232</v>
      </c>
      <c r="E2946" s="51"/>
      <c r="F2946" s="57"/>
    </row>
    <row r="2947" spans="1:203" s="58" customFormat="1" ht="30" hidden="1" customHeight="1" outlineLevel="1" x14ac:dyDescent="0.4">
      <c r="A2947" s="54"/>
      <c r="B2947" s="48" t="s">
        <v>246</v>
      </c>
      <c r="C2947" s="49" t="s">
        <v>58</v>
      </c>
      <c r="D2947" s="55">
        <f>16*69</f>
        <v>1104</v>
      </c>
      <c r="E2947" s="51"/>
      <c r="F2947" s="57"/>
    </row>
    <row r="2948" spans="1:203" s="58" customFormat="1" ht="30" hidden="1" customHeight="1" outlineLevel="1" x14ac:dyDescent="0.4">
      <c r="A2948" s="54"/>
      <c r="B2948" s="48" t="s">
        <v>247</v>
      </c>
      <c r="C2948" s="49" t="s">
        <v>58</v>
      </c>
      <c r="D2948" s="55">
        <f>16*29</f>
        <v>464</v>
      </c>
      <c r="E2948" s="51"/>
      <c r="F2948" s="57"/>
    </row>
    <row r="2949" spans="1:203" s="43" customFormat="1" ht="36" customHeight="1" collapsed="1" x14ac:dyDescent="0.35">
      <c r="A2949" s="24">
        <f>A2941+1</f>
        <v>1241</v>
      </c>
      <c r="B2949" s="59" t="s">
        <v>72</v>
      </c>
      <c r="C2949" s="26" t="s">
        <v>29</v>
      </c>
      <c r="D2949" s="104">
        <f>((0.032*3.14*14.7)+(0.057*3.14*6)+(0.089*3.14*23.2)+(0.114*3.14*105.1)+(0.159*3.14*74.2))</f>
        <v>83.701096000000007</v>
      </c>
      <c r="E2949" s="41"/>
      <c r="F2949" s="42"/>
      <c r="H2949" s="44"/>
      <c r="K2949" s="45"/>
      <c r="L2949" s="45"/>
      <c r="M2949" s="45"/>
      <c r="N2949" s="44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6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  <c r="BP2949" s="46"/>
      <c r="BQ2949" s="46"/>
      <c r="BR2949" s="46"/>
      <c r="BS2949" s="46"/>
      <c r="BT2949" s="46"/>
      <c r="BU2949" s="46"/>
      <c r="BV2949" s="46"/>
      <c r="BW2949" s="46"/>
      <c r="BX2949" s="46"/>
      <c r="BY2949" s="46"/>
      <c r="BZ2949" s="46"/>
      <c r="CA2949" s="46"/>
      <c r="CB2949" s="46"/>
      <c r="CC2949" s="46"/>
      <c r="CD2949" s="46"/>
      <c r="CE2949" s="46"/>
      <c r="CF2949" s="46"/>
      <c r="CG2949" s="46"/>
      <c r="CH2949" s="46"/>
      <c r="CI2949" s="46"/>
      <c r="CJ2949" s="46"/>
      <c r="CK2949" s="46"/>
      <c r="CL2949" s="46"/>
      <c r="CM2949" s="46"/>
      <c r="CN2949" s="46"/>
      <c r="CO2949" s="46"/>
      <c r="CP2949" s="46"/>
      <c r="CQ2949" s="46"/>
      <c r="CR2949" s="46"/>
      <c r="CS2949" s="46"/>
      <c r="CT2949" s="46"/>
      <c r="CU2949" s="46"/>
      <c r="CV2949" s="46"/>
      <c r="CW2949" s="46"/>
      <c r="CX2949" s="46"/>
      <c r="CY2949" s="46"/>
      <c r="CZ2949" s="46"/>
      <c r="DA2949" s="46"/>
      <c r="DB2949" s="46"/>
      <c r="DC2949" s="46"/>
      <c r="DD2949" s="46"/>
      <c r="DE2949" s="46"/>
      <c r="DF2949" s="46"/>
      <c r="DG2949" s="46"/>
      <c r="DH2949" s="46"/>
      <c r="DI2949" s="46"/>
      <c r="DJ2949" s="46"/>
      <c r="DK2949" s="46"/>
      <c r="DL2949" s="46"/>
      <c r="DM2949" s="46"/>
      <c r="DN2949" s="46"/>
      <c r="DO2949" s="46"/>
      <c r="DP2949" s="46"/>
      <c r="DQ2949" s="46"/>
      <c r="DR2949" s="46"/>
      <c r="DS2949" s="46"/>
      <c r="DT2949" s="46"/>
      <c r="DU2949" s="46"/>
      <c r="DV2949" s="46"/>
      <c r="DW2949" s="46"/>
      <c r="DX2949" s="46"/>
      <c r="DY2949" s="46"/>
      <c r="DZ2949" s="46"/>
      <c r="EA2949" s="46"/>
      <c r="EB2949" s="46"/>
      <c r="EC2949" s="46"/>
      <c r="ED2949" s="46"/>
      <c r="EE2949" s="46"/>
      <c r="EF2949" s="46"/>
      <c r="EG2949" s="46"/>
      <c r="EH2949" s="46"/>
      <c r="EI2949" s="46"/>
      <c r="EJ2949" s="46"/>
      <c r="EK2949" s="46"/>
      <c r="EL2949" s="46"/>
      <c r="EM2949" s="46"/>
      <c r="EN2949" s="46"/>
      <c r="EO2949" s="46"/>
      <c r="EP2949" s="46"/>
      <c r="EQ2949" s="46"/>
      <c r="ER2949" s="46"/>
      <c r="ES2949" s="46"/>
      <c r="ET2949" s="46"/>
      <c r="EU2949" s="46"/>
      <c r="EV2949" s="46"/>
      <c r="EW2949" s="46"/>
      <c r="EX2949" s="46"/>
      <c r="EY2949" s="46"/>
      <c r="EZ2949" s="46"/>
      <c r="FA2949" s="46"/>
      <c r="FB2949" s="46"/>
      <c r="FC2949" s="46"/>
      <c r="FD2949" s="46"/>
      <c r="FE2949" s="46"/>
      <c r="FF2949" s="46"/>
      <c r="FG2949" s="46"/>
      <c r="FH2949" s="46"/>
      <c r="FI2949" s="46"/>
      <c r="FJ2949" s="46"/>
      <c r="FK2949" s="46"/>
      <c r="FL2949" s="46"/>
      <c r="FM2949" s="46"/>
      <c r="FN2949" s="46"/>
      <c r="FO2949" s="46"/>
      <c r="FP2949" s="46"/>
      <c r="FQ2949" s="46"/>
      <c r="FR2949" s="46"/>
      <c r="FS2949" s="46"/>
      <c r="FT2949" s="46"/>
      <c r="FU2949" s="46"/>
      <c r="FV2949" s="46"/>
      <c r="FW2949" s="46"/>
      <c r="FX2949" s="46"/>
      <c r="FY2949" s="46"/>
      <c r="FZ2949" s="46"/>
      <c r="GA2949" s="46"/>
      <c r="GB2949" s="46"/>
      <c r="GC2949" s="46"/>
      <c r="GD2949" s="46"/>
      <c r="GE2949" s="46"/>
      <c r="GF2949" s="46"/>
      <c r="GG2949" s="46"/>
      <c r="GH2949" s="46"/>
      <c r="GI2949" s="46"/>
      <c r="GJ2949" s="46"/>
      <c r="GK2949" s="46"/>
      <c r="GL2949" s="46"/>
      <c r="GM2949" s="46"/>
      <c r="GN2949" s="46"/>
      <c r="GO2949" s="46"/>
      <c r="GP2949" s="46"/>
      <c r="GQ2949" s="46"/>
      <c r="GR2949" s="46"/>
      <c r="GS2949" s="46"/>
      <c r="GT2949" s="46"/>
      <c r="GU2949" s="46"/>
    </row>
    <row r="2950" spans="1:203" s="58" customFormat="1" ht="30" hidden="1" customHeight="1" outlineLevel="1" x14ac:dyDescent="0.4">
      <c r="A2950" s="54"/>
      <c r="B2950" s="48" t="s">
        <v>73</v>
      </c>
      <c r="C2950" s="49" t="s">
        <v>74</v>
      </c>
      <c r="D2950" s="68">
        <f>3.31*D2949</f>
        <v>277.05062776000005</v>
      </c>
      <c r="E2950" s="69">
        <v>0.27700000000000002</v>
      </c>
      <c r="F2950" s="57"/>
    </row>
    <row r="2951" spans="1:203" s="43" customFormat="1" ht="36" customHeight="1" collapsed="1" x14ac:dyDescent="0.35">
      <c r="A2951" s="24">
        <f>A2949+1</f>
        <v>1242</v>
      </c>
      <c r="B2951" s="59" t="s">
        <v>75</v>
      </c>
      <c r="C2951" s="26" t="s">
        <v>29</v>
      </c>
      <c r="D2951" s="104">
        <f>((0.032*3.14*14.7)+(0.057*3.14*6)+(0.089*3.14*23.2)+(0.114*3.14*105.1)+(0.159*3.14*74.2))</f>
        <v>83.701096000000007</v>
      </c>
      <c r="E2951" s="41"/>
      <c r="F2951" s="42"/>
      <c r="H2951" s="44"/>
      <c r="K2951" s="45"/>
      <c r="L2951" s="45"/>
      <c r="M2951" s="45"/>
      <c r="N2951" s="44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6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  <c r="BP2951" s="46"/>
      <c r="BQ2951" s="46"/>
      <c r="BR2951" s="46"/>
      <c r="BS2951" s="46"/>
      <c r="BT2951" s="46"/>
      <c r="BU2951" s="46"/>
      <c r="BV2951" s="46"/>
      <c r="BW2951" s="46"/>
      <c r="BX2951" s="46"/>
      <c r="BY2951" s="46"/>
      <c r="BZ2951" s="46"/>
      <c r="CA2951" s="46"/>
      <c r="CB2951" s="46"/>
      <c r="CC2951" s="46"/>
      <c r="CD2951" s="46"/>
      <c r="CE2951" s="46"/>
      <c r="CF2951" s="46"/>
      <c r="CG2951" s="46"/>
      <c r="CH2951" s="46"/>
      <c r="CI2951" s="46"/>
      <c r="CJ2951" s="46"/>
      <c r="CK2951" s="46"/>
      <c r="CL2951" s="46"/>
      <c r="CM2951" s="46"/>
      <c r="CN2951" s="46"/>
      <c r="CO2951" s="46"/>
      <c r="CP2951" s="46"/>
      <c r="CQ2951" s="46"/>
      <c r="CR2951" s="46"/>
      <c r="CS2951" s="46"/>
      <c r="CT2951" s="46"/>
      <c r="CU2951" s="46"/>
      <c r="CV2951" s="46"/>
      <c r="CW2951" s="46"/>
      <c r="CX2951" s="46"/>
      <c r="CY2951" s="46"/>
      <c r="CZ2951" s="46"/>
      <c r="DA2951" s="46"/>
      <c r="DB2951" s="46"/>
      <c r="DC2951" s="46"/>
      <c r="DD2951" s="46"/>
      <c r="DE2951" s="46"/>
      <c r="DF2951" s="46"/>
      <c r="DG2951" s="46"/>
      <c r="DH2951" s="46"/>
      <c r="DI2951" s="46"/>
      <c r="DJ2951" s="46"/>
      <c r="DK2951" s="46"/>
      <c r="DL2951" s="46"/>
      <c r="DM2951" s="46"/>
      <c r="DN2951" s="46"/>
      <c r="DO2951" s="46"/>
      <c r="DP2951" s="46"/>
      <c r="DQ2951" s="46"/>
      <c r="DR2951" s="46"/>
      <c r="DS2951" s="46"/>
      <c r="DT2951" s="46"/>
      <c r="DU2951" s="46"/>
      <c r="DV2951" s="46"/>
      <c r="DW2951" s="46"/>
      <c r="DX2951" s="46"/>
      <c r="DY2951" s="46"/>
      <c r="DZ2951" s="46"/>
      <c r="EA2951" s="46"/>
      <c r="EB2951" s="46"/>
      <c r="EC2951" s="46"/>
      <c r="ED2951" s="46"/>
      <c r="EE2951" s="46"/>
      <c r="EF2951" s="46"/>
      <c r="EG2951" s="46"/>
      <c r="EH2951" s="46"/>
      <c r="EI2951" s="46"/>
      <c r="EJ2951" s="46"/>
      <c r="EK2951" s="46"/>
      <c r="EL2951" s="46"/>
      <c r="EM2951" s="46"/>
      <c r="EN2951" s="46"/>
      <c r="EO2951" s="46"/>
      <c r="EP2951" s="46"/>
      <c r="EQ2951" s="46"/>
      <c r="ER2951" s="46"/>
      <c r="ES2951" s="46"/>
      <c r="ET2951" s="46"/>
      <c r="EU2951" s="46"/>
      <c r="EV2951" s="46"/>
      <c r="EW2951" s="46"/>
      <c r="EX2951" s="46"/>
      <c r="EY2951" s="46"/>
      <c r="EZ2951" s="46"/>
      <c r="FA2951" s="46"/>
      <c r="FB2951" s="46"/>
      <c r="FC2951" s="46"/>
      <c r="FD2951" s="46"/>
      <c r="FE2951" s="46"/>
      <c r="FF2951" s="46"/>
      <c r="FG2951" s="46"/>
      <c r="FH2951" s="46"/>
      <c r="FI2951" s="46"/>
      <c r="FJ2951" s="46"/>
      <c r="FK2951" s="46"/>
      <c r="FL2951" s="46"/>
      <c r="FM2951" s="46"/>
      <c r="FN2951" s="46"/>
      <c r="FO2951" s="46"/>
      <c r="FP2951" s="46"/>
      <c r="FQ2951" s="46"/>
      <c r="FR2951" s="46"/>
      <c r="FS2951" s="46"/>
      <c r="FT2951" s="46"/>
      <c r="FU2951" s="46"/>
      <c r="FV2951" s="46"/>
      <c r="FW2951" s="46"/>
      <c r="FX2951" s="46"/>
      <c r="FY2951" s="46"/>
      <c r="FZ2951" s="46"/>
      <c r="GA2951" s="46"/>
      <c r="GB2951" s="46"/>
      <c r="GC2951" s="46"/>
      <c r="GD2951" s="46"/>
      <c r="GE2951" s="46"/>
      <c r="GF2951" s="46"/>
      <c r="GG2951" s="46"/>
      <c r="GH2951" s="46"/>
      <c r="GI2951" s="46"/>
      <c r="GJ2951" s="46"/>
      <c r="GK2951" s="46"/>
      <c r="GL2951" s="46"/>
      <c r="GM2951" s="46"/>
      <c r="GN2951" s="46"/>
      <c r="GO2951" s="46"/>
      <c r="GP2951" s="46"/>
      <c r="GQ2951" s="46"/>
      <c r="GR2951" s="46"/>
      <c r="GS2951" s="46"/>
      <c r="GT2951" s="46"/>
      <c r="GU2951" s="46"/>
    </row>
    <row r="2952" spans="1:203" s="43" customFormat="1" ht="36" customHeight="1" x14ac:dyDescent="0.35">
      <c r="A2952" s="24">
        <f>A2951+1</f>
        <v>1243</v>
      </c>
      <c r="B2952" s="59" t="s">
        <v>76</v>
      </c>
      <c r="C2952" s="26" t="s">
        <v>29</v>
      </c>
      <c r="D2952" s="104">
        <f>((0.032*3.14*14.7)+(0.057*3.14*6)+(0.089*3.14*23.2)+(0.114*3.14*105.1)+(0.159*3.14*74.2))</f>
        <v>83.701096000000007</v>
      </c>
      <c r="E2952" s="41"/>
      <c r="F2952" s="42"/>
      <c r="H2952" s="44"/>
      <c r="K2952" s="45"/>
      <c r="L2952" s="45"/>
      <c r="M2952" s="45"/>
      <c r="N2952" s="44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6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  <c r="BP2952" s="46"/>
      <c r="BQ2952" s="46"/>
      <c r="BR2952" s="46"/>
      <c r="BS2952" s="46"/>
      <c r="BT2952" s="46"/>
      <c r="BU2952" s="46"/>
      <c r="BV2952" s="46"/>
      <c r="BW2952" s="46"/>
      <c r="BX2952" s="46"/>
      <c r="BY2952" s="46"/>
      <c r="BZ2952" s="46"/>
      <c r="CA2952" s="46"/>
      <c r="CB2952" s="46"/>
      <c r="CC2952" s="46"/>
      <c r="CD2952" s="46"/>
      <c r="CE2952" s="46"/>
      <c r="CF2952" s="46"/>
      <c r="CG2952" s="46"/>
      <c r="CH2952" s="46"/>
      <c r="CI2952" s="46"/>
      <c r="CJ2952" s="46"/>
      <c r="CK2952" s="46"/>
      <c r="CL2952" s="46"/>
      <c r="CM2952" s="46"/>
      <c r="CN2952" s="46"/>
      <c r="CO2952" s="46"/>
      <c r="CP2952" s="46"/>
      <c r="CQ2952" s="46"/>
      <c r="CR2952" s="46"/>
      <c r="CS2952" s="46"/>
      <c r="CT2952" s="46"/>
      <c r="CU2952" s="46"/>
      <c r="CV2952" s="46"/>
      <c r="CW2952" s="46"/>
      <c r="CX2952" s="46"/>
      <c r="CY2952" s="46"/>
      <c r="CZ2952" s="46"/>
      <c r="DA2952" s="46"/>
      <c r="DB2952" s="46"/>
      <c r="DC2952" s="46"/>
      <c r="DD2952" s="46"/>
      <c r="DE2952" s="46"/>
      <c r="DF2952" s="46"/>
      <c r="DG2952" s="46"/>
      <c r="DH2952" s="46"/>
      <c r="DI2952" s="46"/>
      <c r="DJ2952" s="46"/>
      <c r="DK2952" s="46"/>
      <c r="DL2952" s="46"/>
      <c r="DM2952" s="46"/>
      <c r="DN2952" s="46"/>
      <c r="DO2952" s="46"/>
      <c r="DP2952" s="46"/>
      <c r="DQ2952" s="46"/>
      <c r="DR2952" s="46"/>
      <c r="DS2952" s="46"/>
      <c r="DT2952" s="46"/>
      <c r="DU2952" s="46"/>
      <c r="DV2952" s="46"/>
      <c r="DW2952" s="46"/>
      <c r="DX2952" s="46"/>
      <c r="DY2952" s="46"/>
      <c r="DZ2952" s="46"/>
      <c r="EA2952" s="46"/>
      <c r="EB2952" s="46"/>
      <c r="EC2952" s="46"/>
      <c r="ED2952" s="46"/>
      <c r="EE2952" s="46"/>
      <c r="EF2952" s="46"/>
      <c r="EG2952" s="46"/>
      <c r="EH2952" s="46"/>
      <c r="EI2952" s="46"/>
      <c r="EJ2952" s="46"/>
      <c r="EK2952" s="46"/>
      <c r="EL2952" s="46"/>
      <c r="EM2952" s="46"/>
      <c r="EN2952" s="46"/>
      <c r="EO2952" s="46"/>
      <c r="EP2952" s="46"/>
      <c r="EQ2952" s="46"/>
      <c r="ER2952" s="46"/>
      <c r="ES2952" s="46"/>
      <c r="ET2952" s="46"/>
      <c r="EU2952" s="46"/>
      <c r="EV2952" s="46"/>
      <c r="EW2952" s="46"/>
      <c r="EX2952" s="46"/>
      <c r="EY2952" s="46"/>
      <c r="EZ2952" s="46"/>
      <c r="FA2952" s="46"/>
      <c r="FB2952" s="46"/>
      <c r="FC2952" s="46"/>
      <c r="FD2952" s="46"/>
      <c r="FE2952" s="46"/>
      <c r="FF2952" s="46"/>
      <c r="FG2952" s="46"/>
      <c r="FH2952" s="46"/>
      <c r="FI2952" s="46"/>
      <c r="FJ2952" s="46"/>
      <c r="FK2952" s="46"/>
      <c r="FL2952" s="46"/>
      <c r="FM2952" s="46"/>
      <c r="FN2952" s="46"/>
      <c r="FO2952" s="46"/>
      <c r="FP2952" s="46"/>
      <c r="FQ2952" s="46"/>
      <c r="FR2952" s="46"/>
      <c r="FS2952" s="46"/>
      <c r="FT2952" s="46"/>
      <c r="FU2952" s="46"/>
      <c r="FV2952" s="46"/>
      <c r="FW2952" s="46"/>
      <c r="FX2952" s="46"/>
      <c r="FY2952" s="46"/>
      <c r="FZ2952" s="46"/>
      <c r="GA2952" s="46"/>
      <c r="GB2952" s="46"/>
      <c r="GC2952" s="46"/>
      <c r="GD2952" s="46"/>
      <c r="GE2952" s="46"/>
      <c r="GF2952" s="46"/>
      <c r="GG2952" s="46"/>
      <c r="GH2952" s="46"/>
      <c r="GI2952" s="46"/>
      <c r="GJ2952" s="46"/>
      <c r="GK2952" s="46"/>
      <c r="GL2952" s="46"/>
      <c r="GM2952" s="46"/>
      <c r="GN2952" s="46"/>
      <c r="GO2952" s="46"/>
      <c r="GP2952" s="46"/>
      <c r="GQ2952" s="46"/>
      <c r="GR2952" s="46"/>
      <c r="GS2952" s="46"/>
      <c r="GT2952" s="46"/>
      <c r="GU2952" s="46"/>
    </row>
    <row r="2953" spans="1:203" s="58" customFormat="1" ht="30" customHeight="1" x14ac:dyDescent="0.4">
      <c r="A2953" s="24">
        <f>A2952+1</f>
        <v>1244</v>
      </c>
      <c r="B2953" s="59" t="s">
        <v>77</v>
      </c>
      <c r="C2953" s="70" t="s">
        <v>29</v>
      </c>
      <c r="D2953" s="104">
        <f>((0.032*3.14*14.7)+(0.057*3.14*6)+(0.089*3.14*23.2)+(0.114*3.14*105.1)+(0.159*3.14*74.2))</f>
        <v>83.701096000000007</v>
      </c>
      <c r="E2953" s="66"/>
      <c r="F2953" s="57"/>
    </row>
    <row r="2954" spans="1:203" s="58" customFormat="1" ht="30" hidden="1" customHeight="1" outlineLevel="1" x14ac:dyDescent="0.4">
      <c r="A2954" s="54"/>
      <c r="B2954" s="48" t="s">
        <v>78</v>
      </c>
      <c r="C2954" s="49" t="s">
        <v>74</v>
      </c>
      <c r="D2954" s="68">
        <f>D2953*0.255</f>
        <v>21.343779480000002</v>
      </c>
      <c r="E2954" s="69">
        <v>2.1000000000000001E-2</v>
      </c>
      <c r="F2954" s="57"/>
    </row>
    <row r="2955" spans="1:203" s="58" customFormat="1" ht="30" customHeight="1" collapsed="1" x14ac:dyDescent="0.4">
      <c r="A2955" s="24">
        <f>A2953+1</f>
        <v>1245</v>
      </c>
      <c r="B2955" s="59" t="s">
        <v>79</v>
      </c>
      <c r="C2955" s="70" t="s">
        <v>29</v>
      </c>
      <c r="D2955" s="104">
        <f>((0.032*3.14*14.7)+(0.057*3.14*6)+(0.089*3.14*23.2)+(0.114*3.14*105.1)+(0.159*3.14*74.2))</f>
        <v>83.701096000000007</v>
      </c>
      <c r="E2955" s="66"/>
      <c r="F2955" s="57"/>
    </row>
    <row r="2956" spans="1:203" s="58" customFormat="1" ht="30" hidden="1" customHeight="1" outlineLevel="1" x14ac:dyDescent="0.4">
      <c r="A2956" s="54"/>
      <c r="B2956" s="48" t="s">
        <v>80</v>
      </c>
      <c r="C2956" s="49" t="s">
        <v>74</v>
      </c>
      <c r="D2956" s="68">
        <f>D2955*0.36*2</f>
        <v>60.264789120000003</v>
      </c>
      <c r="E2956" s="69">
        <v>0.06</v>
      </c>
      <c r="F2956" s="57"/>
    </row>
    <row r="2957" spans="1:203" s="58" customFormat="1" ht="30" customHeight="1" collapsed="1" x14ac:dyDescent="0.4">
      <c r="A2957" s="24">
        <f>A2955+1</f>
        <v>1246</v>
      </c>
      <c r="B2957" s="59" t="s">
        <v>368</v>
      </c>
      <c r="C2957" s="70" t="s">
        <v>58</v>
      </c>
      <c r="D2957" s="40">
        <v>29</v>
      </c>
      <c r="E2957" s="66"/>
      <c r="F2957" s="57"/>
    </row>
    <row r="2958" spans="1:203" s="58" customFormat="1" ht="30" hidden="1" customHeight="1" outlineLevel="1" x14ac:dyDescent="0.4">
      <c r="A2958" s="54"/>
      <c r="B2958" s="48" t="s">
        <v>554</v>
      </c>
      <c r="C2958" s="49" t="s">
        <v>58</v>
      </c>
      <c r="D2958" s="75">
        <v>5</v>
      </c>
      <c r="E2958" s="51"/>
      <c r="F2958" s="57"/>
    </row>
    <row r="2959" spans="1:203" s="58" customFormat="1" ht="30" hidden="1" customHeight="1" outlineLevel="1" x14ac:dyDescent="0.4">
      <c r="A2959" s="54"/>
      <c r="B2959" s="48" t="s">
        <v>555</v>
      </c>
      <c r="C2959" s="49" t="s">
        <v>58</v>
      </c>
      <c r="D2959" s="75">
        <v>4</v>
      </c>
      <c r="E2959" s="51"/>
      <c r="F2959" s="57"/>
    </row>
    <row r="2960" spans="1:203" s="58" customFormat="1" ht="30" hidden="1" customHeight="1" outlineLevel="1" x14ac:dyDescent="0.4">
      <c r="A2960" s="54"/>
      <c r="B2960" s="48" t="s">
        <v>556</v>
      </c>
      <c r="C2960" s="49" t="s">
        <v>58</v>
      </c>
      <c r="D2960" s="75">
        <v>1</v>
      </c>
      <c r="E2960" s="51"/>
      <c r="F2960" s="57"/>
    </row>
    <row r="2961" spans="1:203" s="58" customFormat="1" ht="30" hidden="1" customHeight="1" outlineLevel="1" x14ac:dyDescent="0.4">
      <c r="A2961" s="54"/>
      <c r="B2961" s="48" t="s">
        <v>557</v>
      </c>
      <c r="C2961" s="49" t="s">
        <v>58</v>
      </c>
      <c r="D2961" s="75">
        <v>12</v>
      </c>
      <c r="E2961" s="51"/>
      <c r="F2961" s="57"/>
    </row>
    <row r="2962" spans="1:203" s="58" customFormat="1" ht="30" hidden="1" customHeight="1" outlineLevel="1" x14ac:dyDescent="0.4">
      <c r="A2962" s="54"/>
      <c r="B2962" s="48" t="s">
        <v>558</v>
      </c>
      <c r="C2962" s="49" t="s">
        <v>58</v>
      </c>
      <c r="D2962" s="75">
        <v>7</v>
      </c>
      <c r="E2962" s="51"/>
      <c r="F2962" s="57"/>
    </row>
    <row r="2963" spans="1:203" s="58" customFormat="1" ht="46.3" collapsed="1" x14ac:dyDescent="0.4">
      <c r="A2963" s="24">
        <f>A2957+1</f>
        <v>1247</v>
      </c>
      <c r="B2963" s="59" t="s">
        <v>364</v>
      </c>
      <c r="C2963" s="70" t="s">
        <v>19</v>
      </c>
      <c r="D2963" s="67">
        <v>7.66</v>
      </c>
      <c r="E2963" s="66"/>
      <c r="F2963" s="57"/>
    </row>
    <row r="2964" spans="1:203" s="58" customFormat="1" ht="30.9" hidden="1" outlineLevel="1" x14ac:dyDescent="0.4">
      <c r="A2964" s="54"/>
      <c r="B2964" s="48" t="s">
        <v>365</v>
      </c>
      <c r="C2964" s="49" t="s">
        <v>19</v>
      </c>
      <c r="D2964" s="68">
        <v>7.66</v>
      </c>
      <c r="E2964" s="69">
        <v>1E-3</v>
      </c>
      <c r="F2964" s="57"/>
      <c r="J2964" s="58">
        <v>1.08</v>
      </c>
    </row>
    <row r="2965" spans="1:203" s="58" customFormat="1" ht="30" customHeight="1" collapsed="1" x14ac:dyDescent="0.4">
      <c r="A2965" s="24">
        <f>A2963+1</f>
        <v>1248</v>
      </c>
      <c r="B2965" s="59" t="s">
        <v>366</v>
      </c>
      <c r="C2965" s="70" t="s">
        <v>29</v>
      </c>
      <c r="D2965" s="67">
        <v>124.45</v>
      </c>
      <c r="E2965" s="66"/>
      <c r="F2965" s="57"/>
    </row>
    <row r="2966" spans="1:203" s="58" customFormat="1" ht="30" hidden="1" customHeight="1" outlineLevel="1" x14ac:dyDescent="0.4">
      <c r="A2966" s="54"/>
      <c r="B2966" s="48" t="s">
        <v>367</v>
      </c>
      <c r="C2966" s="49" t="s">
        <v>29</v>
      </c>
      <c r="D2966" s="68">
        <v>124.45</v>
      </c>
      <c r="E2966" s="69"/>
      <c r="F2966" s="57"/>
      <c r="J2966" s="58">
        <v>1.22</v>
      </c>
    </row>
    <row r="2967" spans="1:203" s="45" customFormat="1" ht="30" customHeight="1" collapsed="1" x14ac:dyDescent="0.35">
      <c r="A2967" s="24">
        <f>A2965+1</f>
        <v>1249</v>
      </c>
      <c r="B2967" s="59" t="s">
        <v>560</v>
      </c>
      <c r="C2967" s="70" t="s">
        <v>561</v>
      </c>
      <c r="D2967" s="40">
        <v>24</v>
      </c>
      <c r="E2967" s="66"/>
      <c r="F2967" s="42"/>
      <c r="G2967" s="43"/>
      <c r="H2967" s="44"/>
      <c r="I2967" s="43"/>
      <c r="J2967" s="43"/>
      <c r="N2967" s="44"/>
      <c r="AC2967" s="46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  <c r="BP2967" s="46"/>
      <c r="BQ2967" s="46"/>
      <c r="BR2967" s="46"/>
      <c r="BS2967" s="46"/>
      <c r="BT2967" s="46"/>
      <c r="BU2967" s="46"/>
      <c r="BV2967" s="46"/>
      <c r="BW2967" s="46"/>
      <c r="BX2967" s="46"/>
      <c r="BY2967" s="46"/>
      <c r="BZ2967" s="46"/>
      <c r="CA2967" s="46"/>
      <c r="CB2967" s="46"/>
      <c r="CC2967" s="46"/>
      <c r="CD2967" s="46"/>
      <c r="CE2967" s="46"/>
      <c r="CF2967" s="46"/>
      <c r="CG2967" s="46"/>
      <c r="CH2967" s="46"/>
      <c r="CI2967" s="46"/>
      <c r="CJ2967" s="46"/>
      <c r="CK2967" s="46"/>
      <c r="CL2967" s="46"/>
      <c r="CM2967" s="46"/>
      <c r="CN2967" s="46"/>
      <c r="CO2967" s="46"/>
      <c r="CP2967" s="46"/>
      <c r="CQ2967" s="46"/>
      <c r="CR2967" s="46"/>
      <c r="CS2967" s="46"/>
      <c r="CT2967" s="46"/>
      <c r="CU2967" s="46"/>
      <c r="CV2967" s="46"/>
      <c r="CW2967" s="46"/>
      <c r="CX2967" s="46"/>
      <c r="CY2967" s="46"/>
      <c r="CZ2967" s="46"/>
      <c r="DA2967" s="46"/>
      <c r="DB2967" s="46"/>
      <c r="DC2967" s="46"/>
      <c r="DD2967" s="46"/>
      <c r="DE2967" s="46"/>
      <c r="DF2967" s="46"/>
      <c r="DG2967" s="46"/>
      <c r="DH2967" s="46"/>
      <c r="DI2967" s="46"/>
      <c r="DJ2967" s="46"/>
      <c r="DK2967" s="46"/>
      <c r="DL2967" s="46"/>
      <c r="DM2967" s="46"/>
      <c r="DN2967" s="46"/>
      <c r="DO2967" s="46"/>
      <c r="DP2967" s="46"/>
      <c r="DQ2967" s="46"/>
      <c r="DR2967" s="46"/>
      <c r="DS2967" s="46"/>
      <c r="DT2967" s="46"/>
      <c r="DU2967" s="46"/>
      <c r="DV2967" s="46"/>
      <c r="DW2967" s="46"/>
      <c r="DX2967" s="46"/>
      <c r="DY2967" s="46"/>
      <c r="DZ2967" s="46"/>
      <c r="EA2967" s="46"/>
      <c r="EB2967" s="46"/>
      <c r="EC2967" s="46"/>
      <c r="ED2967" s="46"/>
      <c r="EE2967" s="46"/>
      <c r="EF2967" s="46"/>
      <c r="EG2967" s="46"/>
      <c r="EH2967" s="46"/>
      <c r="EI2967" s="46"/>
      <c r="EJ2967" s="46"/>
      <c r="EK2967" s="46"/>
      <c r="EL2967" s="46"/>
      <c r="EM2967" s="46"/>
      <c r="EN2967" s="46"/>
      <c r="EO2967" s="46"/>
      <c r="EP2967" s="46"/>
      <c r="EQ2967" s="46"/>
      <c r="ER2967" s="46"/>
      <c r="ES2967" s="46"/>
      <c r="ET2967" s="46"/>
      <c r="EU2967" s="46"/>
      <c r="EV2967" s="46"/>
      <c r="EW2967" s="46"/>
      <c r="EX2967" s="46"/>
      <c r="EY2967" s="46"/>
      <c r="EZ2967" s="46"/>
      <c r="FA2967" s="46"/>
      <c r="FB2967" s="46"/>
      <c r="FC2967" s="46"/>
      <c r="FD2967" s="46"/>
      <c r="FE2967" s="46"/>
      <c r="FF2967" s="46"/>
      <c r="FG2967" s="46"/>
      <c r="FH2967" s="46"/>
      <c r="FI2967" s="46"/>
      <c r="FJ2967" s="46"/>
      <c r="FK2967" s="46"/>
      <c r="FL2967" s="46"/>
      <c r="FM2967" s="46"/>
      <c r="FN2967" s="46"/>
      <c r="FO2967" s="46"/>
      <c r="FP2967" s="46"/>
      <c r="FQ2967" s="46"/>
      <c r="FR2967" s="46"/>
      <c r="FS2967" s="46"/>
      <c r="FT2967" s="46"/>
      <c r="FU2967" s="46"/>
      <c r="FV2967" s="46"/>
      <c r="FW2967" s="46"/>
      <c r="FX2967" s="46"/>
      <c r="FY2967" s="46"/>
      <c r="FZ2967" s="46"/>
      <c r="GA2967" s="46"/>
      <c r="GB2967" s="46"/>
      <c r="GC2967" s="46"/>
      <c r="GD2967" s="46"/>
      <c r="GE2967" s="46"/>
      <c r="GF2967" s="46"/>
      <c r="GG2967" s="46"/>
      <c r="GH2967" s="46"/>
      <c r="GI2967" s="46"/>
      <c r="GJ2967" s="46"/>
      <c r="GK2967" s="46"/>
      <c r="GL2967" s="46"/>
      <c r="GM2967" s="46"/>
      <c r="GN2967" s="46"/>
      <c r="GO2967" s="46"/>
      <c r="GP2967" s="46"/>
      <c r="GQ2967" s="46"/>
      <c r="GR2967" s="46"/>
      <c r="GS2967" s="46"/>
      <c r="GT2967" s="46"/>
      <c r="GU2967" s="46"/>
    </row>
    <row r="2968" spans="1:203" s="45" customFormat="1" ht="31" customHeight="1" x14ac:dyDescent="0.35">
      <c r="A2968" s="24">
        <f>A2967+1</f>
        <v>1250</v>
      </c>
      <c r="B2968" s="25" t="s">
        <v>562</v>
      </c>
      <c r="C2968" s="70" t="s">
        <v>561</v>
      </c>
      <c r="D2968" s="26">
        <v>11</v>
      </c>
      <c r="E2968" s="41"/>
      <c r="F2968" s="42"/>
      <c r="G2968" s="43"/>
      <c r="H2968" s="44"/>
      <c r="I2968" s="43"/>
      <c r="J2968" s="43"/>
      <c r="N2968" s="44"/>
      <c r="AC2968" s="46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  <c r="BP2968" s="46"/>
      <c r="BQ2968" s="46"/>
      <c r="BR2968" s="46"/>
      <c r="BS2968" s="46"/>
      <c r="BT2968" s="46"/>
      <c r="BU2968" s="46"/>
      <c r="BV2968" s="46"/>
      <c r="BW2968" s="46"/>
      <c r="BX2968" s="46"/>
      <c r="BY2968" s="46"/>
      <c r="BZ2968" s="46"/>
      <c r="CA2968" s="46"/>
      <c r="CB2968" s="46"/>
      <c r="CC2968" s="46"/>
      <c r="CD2968" s="46"/>
      <c r="CE2968" s="46"/>
      <c r="CF2968" s="46"/>
      <c r="CG2968" s="46"/>
      <c r="CH2968" s="46"/>
      <c r="CI2968" s="46"/>
      <c r="CJ2968" s="46"/>
      <c r="CK2968" s="46"/>
      <c r="CL2968" s="46"/>
      <c r="CM2968" s="46"/>
      <c r="CN2968" s="46"/>
      <c r="CO2968" s="46"/>
      <c r="CP2968" s="46"/>
      <c r="CQ2968" s="46"/>
      <c r="CR2968" s="46"/>
      <c r="CS2968" s="46"/>
      <c r="CT2968" s="46"/>
      <c r="CU2968" s="46"/>
      <c r="CV2968" s="46"/>
      <c r="CW2968" s="46"/>
      <c r="CX2968" s="46"/>
      <c r="CY2968" s="46"/>
      <c r="CZ2968" s="46"/>
      <c r="DA2968" s="46"/>
      <c r="DB2968" s="46"/>
      <c r="DC2968" s="46"/>
      <c r="DD2968" s="46"/>
      <c r="DE2968" s="46"/>
      <c r="DF2968" s="46"/>
      <c r="DG2968" s="46"/>
      <c r="DH2968" s="46"/>
      <c r="DI2968" s="46"/>
      <c r="DJ2968" s="46"/>
      <c r="DK2968" s="46"/>
      <c r="DL2968" s="46"/>
      <c r="DM2968" s="46"/>
      <c r="DN2968" s="46"/>
      <c r="DO2968" s="46"/>
      <c r="DP2968" s="46"/>
      <c r="DQ2968" s="46"/>
      <c r="DR2968" s="46"/>
      <c r="DS2968" s="46"/>
      <c r="DT2968" s="46"/>
      <c r="DU2968" s="46"/>
      <c r="DV2968" s="46"/>
      <c r="DW2968" s="46"/>
      <c r="DX2968" s="46"/>
      <c r="DY2968" s="46"/>
      <c r="DZ2968" s="46"/>
      <c r="EA2968" s="46"/>
      <c r="EB2968" s="46"/>
      <c r="EC2968" s="46"/>
      <c r="ED2968" s="46"/>
      <c r="EE2968" s="46"/>
      <c r="EF2968" s="46"/>
      <c r="EG2968" s="46"/>
      <c r="EH2968" s="46"/>
      <c r="EI2968" s="46"/>
      <c r="EJ2968" s="46"/>
      <c r="EK2968" s="46"/>
      <c r="EL2968" s="46"/>
      <c r="EM2968" s="46"/>
      <c r="EN2968" s="46"/>
      <c r="EO2968" s="46"/>
      <c r="EP2968" s="46"/>
      <c r="EQ2968" s="46"/>
      <c r="ER2968" s="46"/>
      <c r="ES2968" s="46"/>
      <c r="ET2968" s="46"/>
      <c r="EU2968" s="46"/>
      <c r="EV2968" s="46"/>
      <c r="EW2968" s="46"/>
      <c r="EX2968" s="46"/>
      <c r="EY2968" s="46"/>
      <c r="EZ2968" s="46"/>
      <c r="FA2968" s="46"/>
      <c r="FB2968" s="46"/>
      <c r="FC2968" s="46"/>
      <c r="FD2968" s="46"/>
      <c r="FE2968" s="46"/>
      <c r="FF2968" s="46"/>
      <c r="FG2968" s="46"/>
      <c r="FH2968" s="46"/>
      <c r="FI2968" s="46"/>
      <c r="FJ2968" s="46"/>
      <c r="FK2968" s="46"/>
      <c r="FL2968" s="46"/>
      <c r="FM2968" s="46"/>
      <c r="FN2968" s="46"/>
      <c r="FO2968" s="46"/>
      <c r="FP2968" s="46"/>
      <c r="FQ2968" s="46"/>
      <c r="FR2968" s="46"/>
      <c r="FS2968" s="46"/>
      <c r="FT2968" s="46"/>
      <c r="FU2968" s="46"/>
      <c r="FV2968" s="46"/>
      <c r="FW2968" s="46"/>
      <c r="FX2968" s="46"/>
      <c r="FY2968" s="46"/>
      <c r="FZ2968" s="46"/>
      <c r="GA2968" s="46"/>
      <c r="GB2968" s="46"/>
      <c r="GC2968" s="46"/>
      <c r="GD2968" s="46"/>
      <c r="GE2968" s="46"/>
      <c r="GF2968" s="46"/>
      <c r="GG2968" s="46"/>
      <c r="GH2968" s="46"/>
      <c r="GI2968" s="46"/>
      <c r="GJ2968" s="46"/>
      <c r="GK2968" s="46"/>
      <c r="GL2968" s="46"/>
      <c r="GM2968" s="46"/>
      <c r="GN2968" s="46"/>
      <c r="GO2968" s="46"/>
      <c r="GP2968" s="46"/>
      <c r="GQ2968" s="46"/>
      <c r="GR2968" s="46"/>
      <c r="GS2968" s="46"/>
      <c r="GT2968" s="46"/>
      <c r="GU2968" s="46"/>
    </row>
    <row r="2969" spans="1:203" s="45" customFormat="1" ht="31" customHeight="1" x14ac:dyDescent="0.35">
      <c r="A2969" s="24">
        <f t="shared" ref="A2969:A2979" si="14">A2968+1</f>
        <v>1251</v>
      </c>
      <c r="B2969" s="25" t="s">
        <v>563</v>
      </c>
      <c r="C2969" s="70" t="s">
        <v>561</v>
      </c>
      <c r="D2969" s="26">
        <v>74</v>
      </c>
      <c r="E2969" s="41"/>
      <c r="F2969" s="42"/>
      <c r="G2969" s="43"/>
      <c r="H2969" s="44"/>
      <c r="I2969" s="43"/>
      <c r="J2969" s="43"/>
      <c r="N2969" s="44"/>
      <c r="AC2969" s="46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  <c r="BP2969" s="46"/>
      <c r="BQ2969" s="46"/>
      <c r="BR2969" s="46"/>
      <c r="BS2969" s="46"/>
      <c r="BT2969" s="46"/>
      <c r="BU2969" s="46"/>
      <c r="BV2969" s="46"/>
      <c r="BW2969" s="46"/>
      <c r="BX2969" s="46"/>
      <c r="BY2969" s="46"/>
      <c r="BZ2969" s="46"/>
      <c r="CA2969" s="46"/>
      <c r="CB2969" s="46"/>
      <c r="CC2969" s="46"/>
      <c r="CD2969" s="46"/>
      <c r="CE2969" s="46"/>
      <c r="CF2969" s="46"/>
      <c r="CG2969" s="46"/>
      <c r="CH2969" s="46"/>
      <c r="CI2969" s="46"/>
      <c r="CJ2969" s="46"/>
      <c r="CK2969" s="46"/>
      <c r="CL2969" s="46"/>
      <c r="CM2969" s="46"/>
      <c r="CN2969" s="46"/>
      <c r="CO2969" s="46"/>
      <c r="CP2969" s="46"/>
      <c r="CQ2969" s="46"/>
      <c r="CR2969" s="46"/>
      <c r="CS2969" s="46"/>
      <c r="CT2969" s="46"/>
      <c r="CU2969" s="46"/>
      <c r="CV2969" s="46"/>
      <c r="CW2969" s="46"/>
      <c r="CX2969" s="46"/>
      <c r="CY2969" s="46"/>
      <c r="CZ2969" s="46"/>
      <c r="DA2969" s="46"/>
      <c r="DB2969" s="46"/>
      <c r="DC2969" s="46"/>
      <c r="DD2969" s="46"/>
      <c r="DE2969" s="46"/>
      <c r="DF2969" s="46"/>
      <c r="DG2969" s="46"/>
      <c r="DH2969" s="46"/>
      <c r="DI2969" s="46"/>
      <c r="DJ2969" s="46"/>
      <c r="DK2969" s="46"/>
      <c r="DL2969" s="46"/>
      <c r="DM2969" s="46"/>
      <c r="DN2969" s="46"/>
      <c r="DO2969" s="46"/>
      <c r="DP2969" s="46"/>
      <c r="DQ2969" s="46"/>
      <c r="DR2969" s="46"/>
      <c r="DS2969" s="46"/>
      <c r="DT2969" s="46"/>
      <c r="DU2969" s="46"/>
      <c r="DV2969" s="46"/>
      <c r="DW2969" s="46"/>
      <c r="DX2969" s="46"/>
      <c r="DY2969" s="46"/>
      <c r="DZ2969" s="46"/>
      <c r="EA2969" s="46"/>
      <c r="EB2969" s="46"/>
      <c r="EC2969" s="46"/>
      <c r="ED2969" s="46"/>
      <c r="EE2969" s="46"/>
      <c r="EF2969" s="46"/>
      <c r="EG2969" s="46"/>
      <c r="EH2969" s="46"/>
      <c r="EI2969" s="46"/>
      <c r="EJ2969" s="46"/>
      <c r="EK2969" s="46"/>
      <c r="EL2969" s="46"/>
      <c r="EM2969" s="46"/>
      <c r="EN2969" s="46"/>
      <c r="EO2969" s="46"/>
      <c r="EP2969" s="46"/>
      <c r="EQ2969" s="46"/>
      <c r="ER2969" s="46"/>
      <c r="ES2969" s="46"/>
      <c r="ET2969" s="46"/>
      <c r="EU2969" s="46"/>
      <c r="EV2969" s="46"/>
      <c r="EW2969" s="46"/>
      <c r="EX2969" s="46"/>
      <c r="EY2969" s="46"/>
      <c r="EZ2969" s="46"/>
      <c r="FA2969" s="46"/>
      <c r="FB2969" s="46"/>
      <c r="FC2969" s="46"/>
      <c r="FD2969" s="46"/>
      <c r="FE2969" s="46"/>
      <c r="FF2969" s="46"/>
      <c r="FG2969" s="46"/>
      <c r="FH2969" s="46"/>
      <c r="FI2969" s="46"/>
      <c r="FJ2969" s="46"/>
      <c r="FK2969" s="46"/>
      <c r="FL2969" s="46"/>
      <c r="FM2969" s="46"/>
      <c r="FN2969" s="46"/>
      <c r="FO2969" s="46"/>
      <c r="FP2969" s="46"/>
      <c r="FQ2969" s="46"/>
      <c r="FR2969" s="46"/>
      <c r="FS2969" s="46"/>
      <c r="FT2969" s="46"/>
      <c r="FU2969" s="46"/>
      <c r="FV2969" s="46"/>
      <c r="FW2969" s="46"/>
      <c r="FX2969" s="46"/>
      <c r="FY2969" s="46"/>
      <c r="FZ2969" s="46"/>
      <c r="GA2969" s="46"/>
      <c r="GB2969" s="46"/>
      <c r="GC2969" s="46"/>
      <c r="GD2969" s="46"/>
      <c r="GE2969" s="46"/>
      <c r="GF2969" s="46"/>
      <c r="GG2969" s="46"/>
      <c r="GH2969" s="46"/>
      <c r="GI2969" s="46"/>
      <c r="GJ2969" s="46"/>
      <c r="GK2969" s="46"/>
      <c r="GL2969" s="46"/>
      <c r="GM2969" s="46"/>
      <c r="GN2969" s="46"/>
      <c r="GO2969" s="46"/>
      <c r="GP2969" s="46"/>
      <c r="GQ2969" s="46"/>
      <c r="GR2969" s="46"/>
      <c r="GS2969" s="46"/>
      <c r="GT2969" s="46"/>
      <c r="GU2969" s="46"/>
    </row>
    <row r="2970" spans="1:203" s="45" customFormat="1" ht="31" customHeight="1" x14ac:dyDescent="0.35">
      <c r="A2970" s="24">
        <f t="shared" si="14"/>
        <v>1252</v>
      </c>
      <c r="B2970" s="25" t="s">
        <v>564</v>
      </c>
      <c r="C2970" s="70" t="s">
        <v>561</v>
      </c>
      <c r="D2970" s="26">
        <v>52</v>
      </c>
      <c r="E2970" s="41"/>
      <c r="F2970" s="42"/>
      <c r="G2970" s="43"/>
      <c r="H2970" s="44"/>
      <c r="I2970" s="43"/>
      <c r="J2970" s="43"/>
      <c r="N2970" s="44"/>
      <c r="AC2970" s="46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  <c r="BP2970" s="46"/>
      <c r="BQ2970" s="46"/>
      <c r="BR2970" s="46"/>
      <c r="BS2970" s="46"/>
      <c r="BT2970" s="46"/>
      <c r="BU2970" s="46"/>
      <c r="BV2970" s="46"/>
      <c r="BW2970" s="46"/>
      <c r="BX2970" s="46"/>
      <c r="BY2970" s="46"/>
      <c r="BZ2970" s="46"/>
      <c r="CA2970" s="46"/>
      <c r="CB2970" s="46"/>
      <c r="CC2970" s="46"/>
      <c r="CD2970" s="46"/>
      <c r="CE2970" s="46"/>
      <c r="CF2970" s="46"/>
      <c r="CG2970" s="46"/>
      <c r="CH2970" s="46"/>
      <c r="CI2970" s="46"/>
      <c r="CJ2970" s="46"/>
      <c r="CK2970" s="46"/>
      <c r="CL2970" s="46"/>
      <c r="CM2970" s="46"/>
      <c r="CN2970" s="46"/>
      <c r="CO2970" s="46"/>
      <c r="CP2970" s="46"/>
      <c r="CQ2970" s="46"/>
      <c r="CR2970" s="46"/>
      <c r="CS2970" s="46"/>
      <c r="CT2970" s="46"/>
      <c r="CU2970" s="46"/>
      <c r="CV2970" s="46"/>
      <c r="CW2970" s="46"/>
      <c r="CX2970" s="46"/>
      <c r="CY2970" s="46"/>
      <c r="CZ2970" s="46"/>
      <c r="DA2970" s="46"/>
      <c r="DB2970" s="46"/>
      <c r="DC2970" s="46"/>
      <c r="DD2970" s="46"/>
      <c r="DE2970" s="46"/>
      <c r="DF2970" s="46"/>
      <c r="DG2970" s="46"/>
      <c r="DH2970" s="46"/>
      <c r="DI2970" s="46"/>
      <c r="DJ2970" s="46"/>
      <c r="DK2970" s="46"/>
      <c r="DL2970" s="46"/>
      <c r="DM2970" s="46"/>
      <c r="DN2970" s="46"/>
      <c r="DO2970" s="46"/>
      <c r="DP2970" s="46"/>
      <c r="DQ2970" s="46"/>
      <c r="DR2970" s="46"/>
      <c r="DS2970" s="46"/>
      <c r="DT2970" s="46"/>
      <c r="DU2970" s="46"/>
      <c r="DV2970" s="46"/>
      <c r="DW2970" s="46"/>
      <c r="DX2970" s="46"/>
      <c r="DY2970" s="46"/>
      <c r="DZ2970" s="46"/>
      <c r="EA2970" s="46"/>
      <c r="EB2970" s="46"/>
      <c r="EC2970" s="46"/>
      <c r="ED2970" s="46"/>
      <c r="EE2970" s="46"/>
      <c r="EF2970" s="46"/>
      <c r="EG2970" s="46"/>
      <c r="EH2970" s="46"/>
      <c r="EI2970" s="46"/>
      <c r="EJ2970" s="46"/>
      <c r="EK2970" s="46"/>
      <c r="EL2970" s="46"/>
      <c r="EM2970" s="46"/>
      <c r="EN2970" s="46"/>
      <c r="EO2970" s="46"/>
      <c r="EP2970" s="46"/>
      <c r="EQ2970" s="46"/>
      <c r="ER2970" s="46"/>
      <c r="ES2970" s="46"/>
      <c r="ET2970" s="46"/>
      <c r="EU2970" s="46"/>
      <c r="EV2970" s="46"/>
      <c r="EW2970" s="46"/>
      <c r="EX2970" s="46"/>
      <c r="EY2970" s="46"/>
      <c r="EZ2970" s="46"/>
      <c r="FA2970" s="46"/>
      <c r="FB2970" s="46"/>
      <c r="FC2970" s="46"/>
      <c r="FD2970" s="46"/>
      <c r="FE2970" s="46"/>
      <c r="FF2970" s="46"/>
      <c r="FG2970" s="46"/>
      <c r="FH2970" s="46"/>
      <c r="FI2970" s="46"/>
      <c r="FJ2970" s="46"/>
      <c r="FK2970" s="46"/>
      <c r="FL2970" s="46"/>
      <c r="FM2970" s="46"/>
      <c r="FN2970" s="46"/>
      <c r="FO2970" s="46"/>
      <c r="FP2970" s="46"/>
      <c r="FQ2970" s="46"/>
      <c r="FR2970" s="46"/>
      <c r="FS2970" s="46"/>
      <c r="FT2970" s="46"/>
      <c r="FU2970" s="46"/>
      <c r="FV2970" s="46"/>
      <c r="FW2970" s="46"/>
      <c r="FX2970" s="46"/>
      <c r="FY2970" s="46"/>
      <c r="FZ2970" s="46"/>
      <c r="GA2970" s="46"/>
      <c r="GB2970" s="46"/>
      <c r="GC2970" s="46"/>
      <c r="GD2970" s="46"/>
      <c r="GE2970" s="46"/>
      <c r="GF2970" s="46"/>
      <c r="GG2970" s="46"/>
      <c r="GH2970" s="46"/>
      <c r="GI2970" s="46"/>
      <c r="GJ2970" s="46"/>
      <c r="GK2970" s="46"/>
      <c r="GL2970" s="46"/>
      <c r="GM2970" s="46"/>
      <c r="GN2970" s="46"/>
      <c r="GO2970" s="46"/>
      <c r="GP2970" s="46"/>
      <c r="GQ2970" s="46"/>
      <c r="GR2970" s="46"/>
      <c r="GS2970" s="46"/>
      <c r="GT2970" s="46"/>
      <c r="GU2970" s="46"/>
    </row>
    <row r="2971" spans="1:203" s="45" customFormat="1" ht="30" customHeight="1" x14ac:dyDescent="0.35">
      <c r="A2971" s="24">
        <f t="shared" si="14"/>
        <v>1253</v>
      </c>
      <c r="B2971" s="59" t="s">
        <v>565</v>
      </c>
      <c r="C2971" s="70" t="s">
        <v>561</v>
      </c>
      <c r="D2971" s="40">
        <v>24</v>
      </c>
      <c r="E2971" s="66"/>
      <c r="F2971" s="42"/>
      <c r="G2971" s="43"/>
      <c r="H2971" s="44"/>
      <c r="I2971" s="43"/>
      <c r="J2971" s="43"/>
      <c r="N2971" s="44"/>
      <c r="AC2971" s="46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  <c r="BP2971" s="46"/>
      <c r="BQ2971" s="46"/>
      <c r="BR2971" s="46"/>
      <c r="BS2971" s="46"/>
      <c r="BT2971" s="46"/>
      <c r="BU2971" s="46"/>
      <c r="BV2971" s="46"/>
      <c r="BW2971" s="46"/>
      <c r="BX2971" s="46"/>
      <c r="BY2971" s="46"/>
      <c r="BZ2971" s="46"/>
      <c r="CA2971" s="46"/>
      <c r="CB2971" s="46"/>
      <c r="CC2971" s="46"/>
      <c r="CD2971" s="46"/>
      <c r="CE2971" s="46"/>
      <c r="CF2971" s="46"/>
      <c r="CG2971" s="46"/>
      <c r="CH2971" s="46"/>
      <c r="CI2971" s="46"/>
      <c r="CJ2971" s="46"/>
      <c r="CK2971" s="46"/>
      <c r="CL2971" s="46"/>
      <c r="CM2971" s="46"/>
      <c r="CN2971" s="46"/>
      <c r="CO2971" s="46"/>
      <c r="CP2971" s="46"/>
      <c r="CQ2971" s="46"/>
      <c r="CR2971" s="46"/>
      <c r="CS2971" s="46"/>
      <c r="CT2971" s="46"/>
      <c r="CU2971" s="46"/>
      <c r="CV2971" s="46"/>
      <c r="CW2971" s="46"/>
      <c r="CX2971" s="46"/>
      <c r="CY2971" s="46"/>
      <c r="CZ2971" s="46"/>
      <c r="DA2971" s="46"/>
      <c r="DB2971" s="46"/>
      <c r="DC2971" s="46"/>
      <c r="DD2971" s="46"/>
      <c r="DE2971" s="46"/>
      <c r="DF2971" s="46"/>
      <c r="DG2971" s="46"/>
      <c r="DH2971" s="46"/>
      <c r="DI2971" s="46"/>
      <c r="DJ2971" s="46"/>
      <c r="DK2971" s="46"/>
      <c r="DL2971" s="46"/>
      <c r="DM2971" s="46"/>
      <c r="DN2971" s="46"/>
      <c r="DO2971" s="46"/>
      <c r="DP2971" s="46"/>
      <c r="DQ2971" s="46"/>
      <c r="DR2971" s="46"/>
      <c r="DS2971" s="46"/>
      <c r="DT2971" s="46"/>
      <c r="DU2971" s="46"/>
      <c r="DV2971" s="46"/>
      <c r="DW2971" s="46"/>
      <c r="DX2971" s="46"/>
      <c r="DY2971" s="46"/>
      <c r="DZ2971" s="46"/>
      <c r="EA2971" s="46"/>
      <c r="EB2971" s="46"/>
      <c r="EC2971" s="46"/>
      <c r="ED2971" s="46"/>
      <c r="EE2971" s="46"/>
      <c r="EF2971" s="46"/>
      <c r="EG2971" s="46"/>
      <c r="EH2971" s="46"/>
      <c r="EI2971" s="46"/>
      <c r="EJ2971" s="46"/>
      <c r="EK2971" s="46"/>
      <c r="EL2971" s="46"/>
      <c r="EM2971" s="46"/>
      <c r="EN2971" s="46"/>
      <c r="EO2971" s="46"/>
      <c r="EP2971" s="46"/>
      <c r="EQ2971" s="46"/>
      <c r="ER2971" s="46"/>
      <c r="ES2971" s="46"/>
      <c r="ET2971" s="46"/>
      <c r="EU2971" s="46"/>
      <c r="EV2971" s="46"/>
      <c r="EW2971" s="46"/>
      <c r="EX2971" s="46"/>
      <c r="EY2971" s="46"/>
      <c r="EZ2971" s="46"/>
      <c r="FA2971" s="46"/>
      <c r="FB2971" s="46"/>
      <c r="FC2971" s="46"/>
      <c r="FD2971" s="46"/>
      <c r="FE2971" s="46"/>
      <c r="FF2971" s="46"/>
      <c r="FG2971" s="46"/>
      <c r="FH2971" s="46"/>
      <c r="FI2971" s="46"/>
      <c r="FJ2971" s="46"/>
      <c r="FK2971" s="46"/>
      <c r="FL2971" s="46"/>
      <c r="FM2971" s="46"/>
      <c r="FN2971" s="46"/>
      <c r="FO2971" s="46"/>
      <c r="FP2971" s="46"/>
      <c r="FQ2971" s="46"/>
      <c r="FR2971" s="46"/>
      <c r="FS2971" s="46"/>
      <c r="FT2971" s="46"/>
      <c r="FU2971" s="46"/>
      <c r="FV2971" s="46"/>
      <c r="FW2971" s="46"/>
      <c r="FX2971" s="46"/>
      <c r="FY2971" s="46"/>
      <c r="FZ2971" s="46"/>
      <c r="GA2971" s="46"/>
      <c r="GB2971" s="46"/>
      <c r="GC2971" s="46"/>
      <c r="GD2971" s="46"/>
      <c r="GE2971" s="46"/>
      <c r="GF2971" s="46"/>
      <c r="GG2971" s="46"/>
      <c r="GH2971" s="46"/>
      <c r="GI2971" s="46"/>
      <c r="GJ2971" s="46"/>
      <c r="GK2971" s="46"/>
      <c r="GL2971" s="46"/>
      <c r="GM2971" s="46"/>
      <c r="GN2971" s="46"/>
      <c r="GO2971" s="46"/>
      <c r="GP2971" s="46"/>
      <c r="GQ2971" s="46"/>
      <c r="GR2971" s="46"/>
      <c r="GS2971" s="46"/>
      <c r="GT2971" s="46"/>
      <c r="GU2971" s="46"/>
    </row>
    <row r="2972" spans="1:203" s="45" customFormat="1" ht="31" customHeight="1" x14ac:dyDescent="0.35">
      <c r="A2972" s="24">
        <f t="shared" si="14"/>
        <v>1254</v>
      </c>
      <c r="B2972" s="25" t="s">
        <v>566</v>
      </c>
      <c r="C2972" s="70" t="s">
        <v>561</v>
      </c>
      <c r="D2972" s="26">
        <v>11</v>
      </c>
      <c r="E2972" s="41"/>
      <c r="F2972" s="42"/>
      <c r="G2972" s="43"/>
      <c r="H2972" s="44"/>
      <c r="I2972" s="43"/>
      <c r="J2972" s="43"/>
      <c r="N2972" s="44"/>
      <c r="AC2972" s="46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  <c r="BP2972" s="46"/>
      <c r="BQ2972" s="46"/>
      <c r="BR2972" s="46"/>
      <c r="BS2972" s="46"/>
      <c r="BT2972" s="46"/>
      <c r="BU2972" s="46"/>
      <c r="BV2972" s="46"/>
      <c r="BW2972" s="46"/>
      <c r="BX2972" s="46"/>
      <c r="BY2972" s="46"/>
      <c r="BZ2972" s="46"/>
      <c r="CA2972" s="46"/>
      <c r="CB2972" s="46"/>
      <c r="CC2972" s="46"/>
      <c r="CD2972" s="46"/>
      <c r="CE2972" s="46"/>
      <c r="CF2972" s="46"/>
      <c r="CG2972" s="46"/>
      <c r="CH2972" s="46"/>
      <c r="CI2972" s="46"/>
      <c r="CJ2972" s="46"/>
      <c r="CK2972" s="46"/>
      <c r="CL2972" s="46"/>
      <c r="CM2972" s="46"/>
      <c r="CN2972" s="46"/>
      <c r="CO2972" s="46"/>
      <c r="CP2972" s="46"/>
      <c r="CQ2972" s="46"/>
      <c r="CR2972" s="46"/>
      <c r="CS2972" s="46"/>
      <c r="CT2972" s="46"/>
      <c r="CU2972" s="46"/>
      <c r="CV2972" s="46"/>
      <c r="CW2972" s="46"/>
      <c r="CX2972" s="46"/>
      <c r="CY2972" s="46"/>
      <c r="CZ2972" s="46"/>
      <c r="DA2972" s="46"/>
      <c r="DB2972" s="46"/>
      <c r="DC2972" s="46"/>
      <c r="DD2972" s="46"/>
      <c r="DE2972" s="46"/>
      <c r="DF2972" s="46"/>
      <c r="DG2972" s="46"/>
      <c r="DH2972" s="46"/>
      <c r="DI2972" s="46"/>
      <c r="DJ2972" s="46"/>
      <c r="DK2972" s="46"/>
      <c r="DL2972" s="46"/>
      <c r="DM2972" s="46"/>
      <c r="DN2972" s="46"/>
      <c r="DO2972" s="46"/>
      <c r="DP2972" s="46"/>
      <c r="DQ2972" s="46"/>
      <c r="DR2972" s="46"/>
      <c r="DS2972" s="46"/>
      <c r="DT2972" s="46"/>
      <c r="DU2972" s="46"/>
      <c r="DV2972" s="46"/>
      <c r="DW2972" s="46"/>
      <c r="DX2972" s="46"/>
      <c r="DY2972" s="46"/>
      <c r="DZ2972" s="46"/>
      <c r="EA2972" s="46"/>
      <c r="EB2972" s="46"/>
      <c r="EC2972" s="46"/>
      <c r="ED2972" s="46"/>
      <c r="EE2972" s="46"/>
      <c r="EF2972" s="46"/>
      <c r="EG2972" s="46"/>
      <c r="EH2972" s="46"/>
      <c r="EI2972" s="46"/>
      <c r="EJ2972" s="46"/>
      <c r="EK2972" s="46"/>
      <c r="EL2972" s="46"/>
      <c r="EM2972" s="46"/>
      <c r="EN2972" s="46"/>
      <c r="EO2972" s="46"/>
      <c r="EP2972" s="46"/>
      <c r="EQ2972" s="46"/>
      <c r="ER2972" s="46"/>
      <c r="ES2972" s="46"/>
      <c r="ET2972" s="46"/>
      <c r="EU2972" s="46"/>
      <c r="EV2972" s="46"/>
      <c r="EW2972" s="46"/>
      <c r="EX2972" s="46"/>
      <c r="EY2972" s="46"/>
      <c r="EZ2972" s="46"/>
      <c r="FA2972" s="46"/>
      <c r="FB2972" s="46"/>
      <c r="FC2972" s="46"/>
      <c r="FD2972" s="46"/>
      <c r="FE2972" s="46"/>
      <c r="FF2972" s="46"/>
      <c r="FG2972" s="46"/>
      <c r="FH2972" s="46"/>
      <c r="FI2972" s="46"/>
      <c r="FJ2972" s="46"/>
      <c r="FK2972" s="46"/>
      <c r="FL2972" s="46"/>
      <c r="FM2972" s="46"/>
      <c r="FN2972" s="46"/>
      <c r="FO2972" s="46"/>
      <c r="FP2972" s="46"/>
      <c r="FQ2972" s="46"/>
      <c r="FR2972" s="46"/>
      <c r="FS2972" s="46"/>
      <c r="FT2972" s="46"/>
      <c r="FU2972" s="46"/>
      <c r="FV2972" s="46"/>
      <c r="FW2972" s="46"/>
      <c r="FX2972" s="46"/>
      <c r="FY2972" s="46"/>
      <c r="FZ2972" s="46"/>
      <c r="GA2972" s="46"/>
      <c r="GB2972" s="46"/>
      <c r="GC2972" s="46"/>
      <c r="GD2972" s="46"/>
      <c r="GE2972" s="46"/>
      <c r="GF2972" s="46"/>
      <c r="GG2972" s="46"/>
      <c r="GH2972" s="46"/>
      <c r="GI2972" s="46"/>
      <c r="GJ2972" s="46"/>
      <c r="GK2972" s="46"/>
      <c r="GL2972" s="46"/>
      <c r="GM2972" s="46"/>
      <c r="GN2972" s="46"/>
      <c r="GO2972" s="46"/>
      <c r="GP2972" s="46"/>
      <c r="GQ2972" s="46"/>
      <c r="GR2972" s="46"/>
      <c r="GS2972" s="46"/>
      <c r="GT2972" s="46"/>
      <c r="GU2972" s="46"/>
    </row>
    <row r="2973" spans="1:203" s="45" customFormat="1" ht="31" customHeight="1" x14ac:dyDescent="0.35">
      <c r="A2973" s="24">
        <f t="shared" si="14"/>
        <v>1255</v>
      </c>
      <c r="B2973" s="25" t="s">
        <v>567</v>
      </c>
      <c r="C2973" s="70" t="s">
        <v>561</v>
      </c>
      <c r="D2973" s="26">
        <v>74</v>
      </c>
      <c r="E2973" s="41"/>
      <c r="F2973" s="42"/>
      <c r="G2973" s="43"/>
      <c r="H2973" s="44"/>
      <c r="I2973" s="43"/>
      <c r="J2973" s="43"/>
      <c r="N2973" s="44"/>
      <c r="AC2973" s="46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  <c r="BP2973" s="46"/>
      <c r="BQ2973" s="46"/>
      <c r="BR2973" s="46"/>
      <c r="BS2973" s="46"/>
      <c r="BT2973" s="46"/>
      <c r="BU2973" s="46"/>
      <c r="BV2973" s="46"/>
      <c r="BW2973" s="46"/>
      <c r="BX2973" s="46"/>
      <c r="BY2973" s="46"/>
      <c r="BZ2973" s="46"/>
      <c r="CA2973" s="46"/>
      <c r="CB2973" s="46"/>
      <c r="CC2973" s="46"/>
      <c r="CD2973" s="46"/>
      <c r="CE2973" s="46"/>
      <c r="CF2973" s="46"/>
      <c r="CG2973" s="46"/>
      <c r="CH2973" s="46"/>
      <c r="CI2973" s="46"/>
      <c r="CJ2973" s="46"/>
      <c r="CK2973" s="46"/>
      <c r="CL2973" s="46"/>
      <c r="CM2973" s="46"/>
      <c r="CN2973" s="46"/>
      <c r="CO2973" s="46"/>
      <c r="CP2973" s="46"/>
      <c r="CQ2973" s="46"/>
      <c r="CR2973" s="46"/>
      <c r="CS2973" s="46"/>
      <c r="CT2973" s="46"/>
      <c r="CU2973" s="46"/>
      <c r="CV2973" s="46"/>
      <c r="CW2973" s="46"/>
      <c r="CX2973" s="46"/>
      <c r="CY2973" s="46"/>
      <c r="CZ2973" s="46"/>
      <c r="DA2973" s="46"/>
      <c r="DB2973" s="46"/>
      <c r="DC2973" s="46"/>
      <c r="DD2973" s="46"/>
      <c r="DE2973" s="46"/>
      <c r="DF2973" s="46"/>
      <c r="DG2973" s="46"/>
      <c r="DH2973" s="46"/>
      <c r="DI2973" s="46"/>
      <c r="DJ2973" s="46"/>
      <c r="DK2973" s="46"/>
      <c r="DL2973" s="46"/>
      <c r="DM2973" s="46"/>
      <c r="DN2973" s="46"/>
      <c r="DO2973" s="46"/>
      <c r="DP2973" s="46"/>
      <c r="DQ2973" s="46"/>
      <c r="DR2973" s="46"/>
      <c r="DS2973" s="46"/>
      <c r="DT2973" s="46"/>
      <c r="DU2973" s="46"/>
      <c r="DV2973" s="46"/>
      <c r="DW2973" s="46"/>
      <c r="DX2973" s="46"/>
      <c r="DY2973" s="46"/>
      <c r="DZ2973" s="46"/>
      <c r="EA2973" s="46"/>
      <c r="EB2973" s="46"/>
      <c r="EC2973" s="46"/>
      <c r="ED2973" s="46"/>
      <c r="EE2973" s="46"/>
      <c r="EF2973" s="46"/>
      <c r="EG2973" s="46"/>
      <c r="EH2973" s="46"/>
      <c r="EI2973" s="46"/>
      <c r="EJ2973" s="46"/>
      <c r="EK2973" s="46"/>
      <c r="EL2973" s="46"/>
      <c r="EM2973" s="46"/>
      <c r="EN2973" s="46"/>
      <c r="EO2973" s="46"/>
      <c r="EP2973" s="46"/>
      <c r="EQ2973" s="46"/>
      <c r="ER2973" s="46"/>
      <c r="ES2973" s="46"/>
      <c r="ET2973" s="46"/>
      <c r="EU2973" s="46"/>
      <c r="EV2973" s="46"/>
      <c r="EW2973" s="46"/>
      <c r="EX2973" s="46"/>
      <c r="EY2973" s="46"/>
      <c r="EZ2973" s="46"/>
      <c r="FA2973" s="46"/>
      <c r="FB2973" s="46"/>
      <c r="FC2973" s="46"/>
      <c r="FD2973" s="46"/>
      <c r="FE2973" s="46"/>
      <c r="FF2973" s="46"/>
      <c r="FG2973" s="46"/>
      <c r="FH2973" s="46"/>
      <c r="FI2973" s="46"/>
      <c r="FJ2973" s="46"/>
      <c r="FK2973" s="46"/>
      <c r="FL2973" s="46"/>
      <c r="FM2973" s="46"/>
      <c r="FN2973" s="46"/>
      <c r="FO2973" s="46"/>
      <c r="FP2973" s="46"/>
      <c r="FQ2973" s="46"/>
      <c r="FR2973" s="46"/>
      <c r="FS2973" s="46"/>
      <c r="FT2973" s="46"/>
      <c r="FU2973" s="46"/>
      <c r="FV2973" s="46"/>
      <c r="FW2973" s="46"/>
      <c r="FX2973" s="46"/>
      <c r="FY2973" s="46"/>
      <c r="FZ2973" s="46"/>
      <c r="GA2973" s="46"/>
      <c r="GB2973" s="46"/>
      <c r="GC2973" s="46"/>
      <c r="GD2973" s="46"/>
      <c r="GE2973" s="46"/>
      <c r="GF2973" s="46"/>
      <c r="GG2973" s="46"/>
      <c r="GH2973" s="46"/>
      <c r="GI2973" s="46"/>
      <c r="GJ2973" s="46"/>
      <c r="GK2973" s="46"/>
      <c r="GL2973" s="46"/>
      <c r="GM2973" s="46"/>
      <c r="GN2973" s="46"/>
      <c r="GO2973" s="46"/>
      <c r="GP2973" s="46"/>
      <c r="GQ2973" s="46"/>
      <c r="GR2973" s="46"/>
      <c r="GS2973" s="46"/>
      <c r="GT2973" s="46"/>
      <c r="GU2973" s="46"/>
    </row>
    <row r="2974" spans="1:203" s="45" customFormat="1" ht="31" customHeight="1" x14ac:dyDescent="0.35">
      <c r="A2974" s="24">
        <f t="shared" si="14"/>
        <v>1256</v>
      </c>
      <c r="B2974" s="25" t="s">
        <v>568</v>
      </c>
      <c r="C2974" s="70" t="s">
        <v>561</v>
      </c>
      <c r="D2974" s="26">
        <v>52</v>
      </c>
      <c r="E2974" s="41"/>
      <c r="F2974" s="42"/>
      <c r="G2974" s="43"/>
      <c r="H2974" s="44"/>
      <c r="I2974" s="43"/>
      <c r="J2974" s="43"/>
      <c r="N2974" s="44"/>
      <c r="AC2974" s="46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  <c r="BP2974" s="46"/>
      <c r="BQ2974" s="46"/>
      <c r="BR2974" s="46"/>
      <c r="BS2974" s="46"/>
      <c r="BT2974" s="46"/>
      <c r="BU2974" s="46"/>
      <c r="BV2974" s="46"/>
      <c r="BW2974" s="46"/>
      <c r="BX2974" s="46"/>
      <c r="BY2974" s="46"/>
      <c r="BZ2974" s="46"/>
      <c r="CA2974" s="46"/>
      <c r="CB2974" s="46"/>
      <c r="CC2974" s="46"/>
      <c r="CD2974" s="46"/>
      <c r="CE2974" s="46"/>
      <c r="CF2974" s="46"/>
      <c r="CG2974" s="46"/>
      <c r="CH2974" s="46"/>
      <c r="CI2974" s="46"/>
      <c r="CJ2974" s="46"/>
      <c r="CK2974" s="46"/>
      <c r="CL2974" s="46"/>
      <c r="CM2974" s="46"/>
      <c r="CN2974" s="46"/>
      <c r="CO2974" s="46"/>
      <c r="CP2974" s="46"/>
      <c r="CQ2974" s="46"/>
      <c r="CR2974" s="46"/>
      <c r="CS2974" s="46"/>
      <c r="CT2974" s="46"/>
      <c r="CU2974" s="46"/>
      <c r="CV2974" s="46"/>
      <c r="CW2974" s="46"/>
      <c r="CX2974" s="46"/>
      <c r="CY2974" s="46"/>
      <c r="CZ2974" s="46"/>
      <c r="DA2974" s="46"/>
      <c r="DB2974" s="46"/>
      <c r="DC2974" s="46"/>
      <c r="DD2974" s="46"/>
      <c r="DE2974" s="46"/>
      <c r="DF2974" s="46"/>
      <c r="DG2974" s="46"/>
      <c r="DH2974" s="46"/>
      <c r="DI2974" s="46"/>
      <c r="DJ2974" s="46"/>
      <c r="DK2974" s="46"/>
      <c r="DL2974" s="46"/>
      <c r="DM2974" s="46"/>
      <c r="DN2974" s="46"/>
      <c r="DO2974" s="46"/>
      <c r="DP2974" s="46"/>
      <c r="DQ2974" s="46"/>
      <c r="DR2974" s="46"/>
      <c r="DS2974" s="46"/>
      <c r="DT2974" s="46"/>
      <c r="DU2974" s="46"/>
      <c r="DV2974" s="46"/>
      <c r="DW2974" s="46"/>
      <c r="DX2974" s="46"/>
      <c r="DY2974" s="46"/>
      <c r="DZ2974" s="46"/>
      <c r="EA2974" s="46"/>
      <c r="EB2974" s="46"/>
      <c r="EC2974" s="46"/>
      <c r="ED2974" s="46"/>
      <c r="EE2974" s="46"/>
      <c r="EF2974" s="46"/>
      <c r="EG2974" s="46"/>
      <c r="EH2974" s="46"/>
      <c r="EI2974" s="46"/>
      <c r="EJ2974" s="46"/>
      <c r="EK2974" s="46"/>
      <c r="EL2974" s="46"/>
      <c r="EM2974" s="46"/>
      <c r="EN2974" s="46"/>
      <c r="EO2974" s="46"/>
      <c r="EP2974" s="46"/>
      <c r="EQ2974" s="46"/>
      <c r="ER2974" s="46"/>
      <c r="ES2974" s="46"/>
      <c r="ET2974" s="46"/>
      <c r="EU2974" s="46"/>
      <c r="EV2974" s="46"/>
      <c r="EW2974" s="46"/>
      <c r="EX2974" s="46"/>
      <c r="EY2974" s="46"/>
      <c r="EZ2974" s="46"/>
      <c r="FA2974" s="46"/>
      <c r="FB2974" s="46"/>
      <c r="FC2974" s="46"/>
      <c r="FD2974" s="46"/>
      <c r="FE2974" s="46"/>
      <c r="FF2974" s="46"/>
      <c r="FG2974" s="46"/>
      <c r="FH2974" s="46"/>
      <c r="FI2974" s="46"/>
      <c r="FJ2974" s="46"/>
      <c r="FK2974" s="46"/>
      <c r="FL2974" s="46"/>
      <c r="FM2974" s="46"/>
      <c r="FN2974" s="46"/>
      <c r="FO2974" s="46"/>
      <c r="FP2974" s="46"/>
      <c r="FQ2974" s="46"/>
      <c r="FR2974" s="46"/>
      <c r="FS2974" s="46"/>
      <c r="FT2974" s="46"/>
      <c r="FU2974" s="46"/>
      <c r="FV2974" s="46"/>
      <c r="FW2974" s="46"/>
      <c r="FX2974" s="46"/>
      <c r="FY2974" s="46"/>
      <c r="FZ2974" s="46"/>
      <c r="GA2974" s="46"/>
      <c r="GB2974" s="46"/>
      <c r="GC2974" s="46"/>
      <c r="GD2974" s="46"/>
      <c r="GE2974" s="46"/>
      <c r="GF2974" s="46"/>
      <c r="GG2974" s="46"/>
      <c r="GH2974" s="46"/>
      <c r="GI2974" s="46"/>
      <c r="GJ2974" s="46"/>
      <c r="GK2974" s="46"/>
      <c r="GL2974" s="46"/>
      <c r="GM2974" s="46"/>
      <c r="GN2974" s="46"/>
      <c r="GO2974" s="46"/>
      <c r="GP2974" s="46"/>
      <c r="GQ2974" s="46"/>
      <c r="GR2974" s="46"/>
      <c r="GS2974" s="46"/>
      <c r="GT2974" s="46"/>
      <c r="GU2974" s="46"/>
    </row>
    <row r="2975" spans="1:203" s="45" customFormat="1" ht="31" customHeight="1" x14ac:dyDescent="0.35">
      <c r="A2975" s="24">
        <f t="shared" si="14"/>
        <v>1257</v>
      </c>
      <c r="B2975" s="25" t="s">
        <v>569</v>
      </c>
      <c r="C2975" s="89" t="s">
        <v>570</v>
      </c>
      <c r="D2975" s="26">
        <v>24</v>
      </c>
      <c r="E2975" s="41"/>
      <c r="F2975" s="42"/>
      <c r="G2975" s="43"/>
      <c r="H2975" s="44"/>
      <c r="I2975" s="43"/>
      <c r="J2975" s="43"/>
      <c r="N2975" s="44"/>
      <c r="AC2975" s="46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  <c r="BP2975" s="46"/>
      <c r="BQ2975" s="46"/>
      <c r="BR2975" s="46"/>
      <c r="BS2975" s="46"/>
      <c r="BT2975" s="46"/>
      <c r="BU2975" s="46"/>
      <c r="BV2975" s="46"/>
      <c r="BW2975" s="46"/>
      <c r="BX2975" s="46"/>
      <c r="BY2975" s="46"/>
      <c r="BZ2975" s="46"/>
      <c r="CA2975" s="46"/>
      <c r="CB2975" s="46"/>
      <c r="CC2975" s="46"/>
      <c r="CD2975" s="46"/>
      <c r="CE2975" s="46"/>
      <c r="CF2975" s="46"/>
      <c r="CG2975" s="46"/>
      <c r="CH2975" s="46"/>
      <c r="CI2975" s="46"/>
      <c r="CJ2975" s="46"/>
      <c r="CK2975" s="46"/>
      <c r="CL2975" s="46"/>
      <c r="CM2975" s="46"/>
      <c r="CN2975" s="46"/>
      <c r="CO2975" s="46"/>
      <c r="CP2975" s="46"/>
      <c r="CQ2975" s="46"/>
      <c r="CR2975" s="46"/>
      <c r="CS2975" s="46"/>
      <c r="CT2975" s="46"/>
      <c r="CU2975" s="46"/>
      <c r="CV2975" s="46"/>
      <c r="CW2975" s="46"/>
      <c r="CX2975" s="46"/>
      <c r="CY2975" s="46"/>
      <c r="CZ2975" s="46"/>
      <c r="DA2975" s="46"/>
      <c r="DB2975" s="46"/>
      <c r="DC2975" s="46"/>
      <c r="DD2975" s="46"/>
      <c r="DE2975" s="46"/>
      <c r="DF2975" s="46"/>
      <c r="DG2975" s="46"/>
      <c r="DH2975" s="46"/>
      <c r="DI2975" s="46"/>
      <c r="DJ2975" s="46"/>
      <c r="DK2975" s="46"/>
      <c r="DL2975" s="46"/>
      <c r="DM2975" s="46"/>
      <c r="DN2975" s="46"/>
      <c r="DO2975" s="46"/>
      <c r="DP2975" s="46"/>
      <c r="DQ2975" s="46"/>
      <c r="DR2975" s="46"/>
      <c r="DS2975" s="46"/>
      <c r="DT2975" s="46"/>
      <c r="DU2975" s="46"/>
      <c r="DV2975" s="46"/>
      <c r="DW2975" s="46"/>
      <c r="DX2975" s="46"/>
      <c r="DY2975" s="46"/>
      <c r="DZ2975" s="46"/>
      <c r="EA2975" s="46"/>
      <c r="EB2975" s="46"/>
      <c r="EC2975" s="46"/>
      <c r="ED2975" s="46"/>
      <c r="EE2975" s="46"/>
      <c r="EF2975" s="46"/>
      <c r="EG2975" s="46"/>
      <c r="EH2975" s="46"/>
      <c r="EI2975" s="46"/>
      <c r="EJ2975" s="46"/>
      <c r="EK2975" s="46"/>
      <c r="EL2975" s="46"/>
      <c r="EM2975" s="46"/>
      <c r="EN2975" s="46"/>
      <c r="EO2975" s="46"/>
      <c r="EP2975" s="46"/>
      <c r="EQ2975" s="46"/>
      <c r="ER2975" s="46"/>
      <c r="ES2975" s="46"/>
      <c r="ET2975" s="46"/>
      <c r="EU2975" s="46"/>
      <c r="EV2975" s="46"/>
      <c r="EW2975" s="46"/>
      <c r="EX2975" s="46"/>
      <c r="EY2975" s="46"/>
      <c r="EZ2975" s="46"/>
      <c r="FA2975" s="46"/>
      <c r="FB2975" s="46"/>
      <c r="FC2975" s="46"/>
      <c r="FD2975" s="46"/>
      <c r="FE2975" s="46"/>
      <c r="FF2975" s="46"/>
      <c r="FG2975" s="46"/>
      <c r="FH2975" s="46"/>
      <c r="FI2975" s="46"/>
      <c r="FJ2975" s="46"/>
      <c r="FK2975" s="46"/>
      <c r="FL2975" s="46"/>
      <c r="FM2975" s="46"/>
      <c r="FN2975" s="46"/>
      <c r="FO2975" s="46"/>
      <c r="FP2975" s="46"/>
      <c r="FQ2975" s="46"/>
      <c r="FR2975" s="46"/>
      <c r="FS2975" s="46"/>
      <c r="FT2975" s="46"/>
      <c r="FU2975" s="46"/>
      <c r="FV2975" s="46"/>
      <c r="FW2975" s="46"/>
      <c r="FX2975" s="46"/>
      <c r="FY2975" s="46"/>
      <c r="FZ2975" s="46"/>
      <c r="GA2975" s="46"/>
      <c r="GB2975" s="46"/>
      <c r="GC2975" s="46"/>
      <c r="GD2975" s="46"/>
      <c r="GE2975" s="46"/>
      <c r="GF2975" s="46"/>
      <c r="GG2975" s="46"/>
      <c r="GH2975" s="46"/>
      <c r="GI2975" s="46"/>
      <c r="GJ2975" s="46"/>
      <c r="GK2975" s="46"/>
      <c r="GL2975" s="46"/>
      <c r="GM2975" s="46"/>
      <c r="GN2975" s="46"/>
      <c r="GO2975" s="46"/>
      <c r="GP2975" s="46"/>
      <c r="GQ2975" s="46"/>
      <c r="GR2975" s="46"/>
      <c r="GS2975" s="46"/>
      <c r="GT2975" s="46"/>
      <c r="GU2975" s="46"/>
    </row>
    <row r="2976" spans="1:203" s="45" customFormat="1" ht="31" customHeight="1" x14ac:dyDescent="0.35">
      <c r="A2976" s="24">
        <f t="shared" si="14"/>
        <v>1258</v>
      </c>
      <c r="B2976" s="25" t="s">
        <v>571</v>
      </c>
      <c r="C2976" s="89" t="s">
        <v>570</v>
      </c>
      <c r="D2976" s="26">
        <v>7</v>
      </c>
      <c r="E2976" s="41"/>
      <c r="F2976" s="42"/>
      <c r="G2976" s="43"/>
      <c r="H2976" s="44"/>
      <c r="I2976" s="43"/>
      <c r="J2976" s="43"/>
      <c r="N2976" s="44"/>
      <c r="AC2976" s="46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  <c r="BP2976" s="46"/>
      <c r="BQ2976" s="46"/>
      <c r="BR2976" s="46"/>
      <c r="BS2976" s="46"/>
      <c r="BT2976" s="46"/>
      <c r="BU2976" s="46"/>
      <c r="BV2976" s="46"/>
      <c r="BW2976" s="46"/>
      <c r="BX2976" s="46"/>
      <c r="BY2976" s="46"/>
      <c r="BZ2976" s="46"/>
      <c r="CA2976" s="46"/>
      <c r="CB2976" s="46"/>
      <c r="CC2976" s="46"/>
      <c r="CD2976" s="46"/>
      <c r="CE2976" s="46"/>
      <c r="CF2976" s="46"/>
      <c r="CG2976" s="46"/>
      <c r="CH2976" s="46"/>
      <c r="CI2976" s="46"/>
      <c r="CJ2976" s="46"/>
      <c r="CK2976" s="46"/>
      <c r="CL2976" s="46"/>
      <c r="CM2976" s="46"/>
      <c r="CN2976" s="46"/>
      <c r="CO2976" s="46"/>
      <c r="CP2976" s="46"/>
      <c r="CQ2976" s="46"/>
      <c r="CR2976" s="46"/>
      <c r="CS2976" s="46"/>
      <c r="CT2976" s="46"/>
      <c r="CU2976" s="46"/>
      <c r="CV2976" s="46"/>
      <c r="CW2976" s="46"/>
      <c r="CX2976" s="46"/>
      <c r="CY2976" s="46"/>
      <c r="CZ2976" s="46"/>
      <c r="DA2976" s="46"/>
      <c r="DB2976" s="46"/>
      <c r="DC2976" s="46"/>
      <c r="DD2976" s="46"/>
      <c r="DE2976" s="46"/>
      <c r="DF2976" s="46"/>
      <c r="DG2976" s="46"/>
      <c r="DH2976" s="46"/>
      <c r="DI2976" s="46"/>
      <c r="DJ2976" s="46"/>
      <c r="DK2976" s="46"/>
      <c r="DL2976" s="46"/>
      <c r="DM2976" s="46"/>
      <c r="DN2976" s="46"/>
      <c r="DO2976" s="46"/>
      <c r="DP2976" s="46"/>
      <c r="DQ2976" s="46"/>
      <c r="DR2976" s="46"/>
      <c r="DS2976" s="46"/>
      <c r="DT2976" s="46"/>
      <c r="DU2976" s="46"/>
      <c r="DV2976" s="46"/>
      <c r="DW2976" s="46"/>
      <c r="DX2976" s="46"/>
      <c r="DY2976" s="46"/>
      <c r="DZ2976" s="46"/>
      <c r="EA2976" s="46"/>
      <c r="EB2976" s="46"/>
      <c r="EC2976" s="46"/>
      <c r="ED2976" s="46"/>
      <c r="EE2976" s="46"/>
      <c r="EF2976" s="46"/>
      <c r="EG2976" s="46"/>
      <c r="EH2976" s="46"/>
      <c r="EI2976" s="46"/>
      <c r="EJ2976" s="46"/>
      <c r="EK2976" s="46"/>
      <c r="EL2976" s="46"/>
      <c r="EM2976" s="46"/>
      <c r="EN2976" s="46"/>
      <c r="EO2976" s="46"/>
      <c r="EP2976" s="46"/>
      <c r="EQ2976" s="46"/>
      <c r="ER2976" s="46"/>
      <c r="ES2976" s="46"/>
      <c r="ET2976" s="46"/>
      <c r="EU2976" s="46"/>
      <c r="EV2976" s="46"/>
      <c r="EW2976" s="46"/>
      <c r="EX2976" s="46"/>
      <c r="EY2976" s="46"/>
      <c r="EZ2976" s="46"/>
      <c r="FA2976" s="46"/>
      <c r="FB2976" s="46"/>
      <c r="FC2976" s="46"/>
      <c r="FD2976" s="46"/>
      <c r="FE2976" s="46"/>
      <c r="FF2976" s="46"/>
      <c r="FG2976" s="46"/>
      <c r="FH2976" s="46"/>
      <c r="FI2976" s="46"/>
      <c r="FJ2976" s="46"/>
      <c r="FK2976" s="46"/>
      <c r="FL2976" s="46"/>
      <c r="FM2976" s="46"/>
      <c r="FN2976" s="46"/>
      <c r="FO2976" s="46"/>
      <c r="FP2976" s="46"/>
      <c r="FQ2976" s="46"/>
      <c r="FR2976" s="46"/>
      <c r="FS2976" s="46"/>
      <c r="FT2976" s="46"/>
      <c r="FU2976" s="46"/>
      <c r="FV2976" s="46"/>
      <c r="FW2976" s="46"/>
      <c r="FX2976" s="46"/>
      <c r="FY2976" s="46"/>
      <c r="FZ2976" s="46"/>
      <c r="GA2976" s="46"/>
      <c r="GB2976" s="46"/>
      <c r="GC2976" s="46"/>
      <c r="GD2976" s="46"/>
      <c r="GE2976" s="46"/>
      <c r="GF2976" s="46"/>
      <c r="GG2976" s="46"/>
      <c r="GH2976" s="46"/>
      <c r="GI2976" s="46"/>
      <c r="GJ2976" s="46"/>
      <c r="GK2976" s="46"/>
      <c r="GL2976" s="46"/>
      <c r="GM2976" s="46"/>
      <c r="GN2976" s="46"/>
      <c r="GO2976" s="46"/>
      <c r="GP2976" s="46"/>
      <c r="GQ2976" s="46"/>
      <c r="GR2976" s="46"/>
      <c r="GS2976" s="46"/>
      <c r="GT2976" s="46"/>
      <c r="GU2976" s="46"/>
    </row>
    <row r="2977" spans="1:203" s="45" customFormat="1" ht="31" customHeight="1" x14ac:dyDescent="0.35">
      <c r="A2977" s="24">
        <f t="shared" si="14"/>
        <v>1259</v>
      </c>
      <c r="B2977" s="25" t="s">
        <v>572</v>
      </c>
      <c r="C2977" s="89" t="s">
        <v>570</v>
      </c>
      <c r="D2977" s="26">
        <v>4</v>
      </c>
      <c r="E2977" s="41"/>
      <c r="F2977" s="42"/>
      <c r="G2977" s="43"/>
      <c r="H2977" s="44"/>
      <c r="I2977" s="43"/>
      <c r="J2977" s="43"/>
      <c r="N2977" s="44"/>
      <c r="AC2977" s="46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  <c r="BP2977" s="46"/>
      <c r="BQ2977" s="46"/>
      <c r="BR2977" s="46"/>
      <c r="BS2977" s="46"/>
      <c r="BT2977" s="46"/>
      <c r="BU2977" s="46"/>
      <c r="BV2977" s="46"/>
      <c r="BW2977" s="46"/>
      <c r="BX2977" s="46"/>
      <c r="BY2977" s="46"/>
      <c r="BZ2977" s="46"/>
      <c r="CA2977" s="46"/>
      <c r="CB2977" s="46"/>
      <c r="CC2977" s="46"/>
      <c r="CD2977" s="46"/>
      <c r="CE2977" s="46"/>
      <c r="CF2977" s="46"/>
      <c r="CG2977" s="46"/>
      <c r="CH2977" s="46"/>
      <c r="CI2977" s="46"/>
      <c r="CJ2977" s="46"/>
      <c r="CK2977" s="46"/>
      <c r="CL2977" s="46"/>
      <c r="CM2977" s="46"/>
      <c r="CN2977" s="46"/>
      <c r="CO2977" s="46"/>
      <c r="CP2977" s="46"/>
      <c r="CQ2977" s="46"/>
      <c r="CR2977" s="46"/>
      <c r="CS2977" s="46"/>
      <c r="CT2977" s="46"/>
      <c r="CU2977" s="46"/>
      <c r="CV2977" s="46"/>
      <c r="CW2977" s="46"/>
      <c r="CX2977" s="46"/>
      <c r="CY2977" s="46"/>
      <c r="CZ2977" s="46"/>
      <c r="DA2977" s="46"/>
      <c r="DB2977" s="46"/>
      <c r="DC2977" s="46"/>
      <c r="DD2977" s="46"/>
      <c r="DE2977" s="46"/>
      <c r="DF2977" s="46"/>
      <c r="DG2977" s="46"/>
      <c r="DH2977" s="46"/>
      <c r="DI2977" s="46"/>
      <c r="DJ2977" s="46"/>
      <c r="DK2977" s="46"/>
      <c r="DL2977" s="46"/>
      <c r="DM2977" s="46"/>
      <c r="DN2977" s="46"/>
      <c r="DO2977" s="46"/>
      <c r="DP2977" s="46"/>
      <c r="DQ2977" s="46"/>
      <c r="DR2977" s="46"/>
      <c r="DS2977" s="46"/>
      <c r="DT2977" s="46"/>
      <c r="DU2977" s="46"/>
      <c r="DV2977" s="46"/>
      <c r="DW2977" s="46"/>
      <c r="DX2977" s="46"/>
      <c r="DY2977" s="46"/>
      <c r="DZ2977" s="46"/>
      <c r="EA2977" s="46"/>
      <c r="EB2977" s="46"/>
      <c r="EC2977" s="46"/>
      <c r="ED2977" s="46"/>
      <c r="EE2977" s="46"/>
      <c r="EF2977" s="46"/>
      <c r="EG2977" s="46"/>
      <c r="EH2977" s="46"/>
      <c r="EI2977" s="46"/>
      <c r="EJ2977" s="46"/>
      <c r="EK2977" s="46"/>
      <c r="EL2977" s="46"/>
      <c r="EM2977" s="46"/>
      <c r="EN2977" s="46"/>
      <c r="EO2977" s="46"/>
      <c r="EP2977" s="46"/>
      <c r="EQ2977" s="46"/>
      <c r="ER2977" s="46"/>
      <c r="ES2977" s="46"/>
      <c r="ET2977" s="46"/>
      <c r="EU2977" s="46"/>
      <c r="EV2977" s="46"/>
      <c r="EW2977" s="46"/>
      <c r="EX2977" s="46"/>
      <c r="EY2977" s="46"/>
      <c r="EZ2977" s="46"/>
      <c r="FA2977" s="46"/>
      <c r="FB2977" s="46"/>
      <c r="FC2977" s="46"/>
      <c r="FD2977" s="46"/>
      <c r="FE2977" s="46"/>
      <c r="FF2977" s="46"/>
      <c r="FG2977" s="46"/>
      <c r="FH2977" s="46"/>
      <c r="FI2977" s="46"/>
      <c r="FJ2977" s="46"/>
      <c r="FK2977" s="46"/>
      <c r="FL2977" s="46"/>
      <c r="FM2977" s="46"/>
      <c r="FN2977" s="46"/>
      <c r="FO2977" s="46"/>
      <c r="FP2977" s="46"/>
      <c r="FQ2977" s="46"/>
      <c r="FR2977" s="46"/>
      <c r="FS2977" s="46"/>
      <c r="FT2977" s="46"/>
      <c r="FU2977" s="46"/>
      <c r="FV2977" s="46"/>
      <c r="FW2977" s="46"/>
      <c r="FX2977" s="46"/>
      <c r="FY2977" s="46"/>
      <c r="FZ2977" s="46"/>
      <c r="GA2977" s="46"/>
      <c r="GB2977" s="46"/>
      <c r="GC2977" s="46"/>
      <c r="GD2977" s="46"/>
      <c r="GE2977" s="46"/>
      <c r="GF2977" s="46"/>
      <c r="GG2977" s="46"/>
      <c r="GH2977" s="46"/>
      <c r="GI2977" s="46"/>
      <c r="GJ2977" s="46"/>
      <c r="GK2977" s="46"/>
      <c r="GL2977" s="46"/>
      <c r="GM2977" s="46"/>
      <c r="GN2977" s="46"/>
      <c r="GO2977" s="46"/>
      <c r="GP2977" s="46"/>
      <c r="GQ2977" s="46"/>
      <c r="GR2977" s="46"/>
      <c r="GS2977" s="46"/>
      <c r="GT2977" s="46"/>
      <c r="GU2977" s="46"/>
    </row>
    <row r="2978" spans="1:203" ht="31" customHeight="1" x14ac:dyDescent="0.35">
      <c r="A2978" s="24">
        <f t="shared" si="14"/>
        <v>1260</v>
      </c>
      <c r="B2978" s="25" t="s">
        <v>573</v>
      </c>
      <c r="C2978" s="89" t="s">
        <v>570</v>
      </c>
      <c r="D2978" s="26">
        <v>74</v>
      </c>
      <c r="E2978" s="41"/>
      <c r="F2978" s="42"/>
    </row>
    <row r="2979" spans="1:203" ht="31" customHeight="1" x14ac:dyDescent="0.35">
      <c r="A2979" s="24">
        <f t="shared" si="14"/>
        <v>1261</v>
      </c>
      <c r="B2979" s="25" t="s">
        <v>574</v>
      </c>
      <c r="C2979" s="89" t="s">
        <v>570</v>
      </c>
      <c r="D2979" s="26">
        <v>104</v>
      </c>
      <c r="E2979" s="41"/>
      <c r="F2979" s="42"/>
    </row>
    <row r="2980" spans="1:203" s="39" customFormat="1" ht="21" customHeight="1" x14ac:dyDescent="0.35">
      <c r="A2980" s="158" t="s">
        <v>993</v>
      </c>
      <c r="B2980" s="158"/>
      <c r="C2980" s="158"/>
      <c r="D2980" s="158"/>
      <c r="E2980" s="158"/>
      <c r="F2980" s="34"/>
      <c r="G2980" s="35"/>
      <c r="H2980" s="36"/>
      <c r="I2980" s="37"/>
      <c r="J2980" s="37"/>
      <c r="K2980" s="38"/>
      <c r="L2980" s="38"/>
      <c r="M2980" s="38"/>
      <c r="N2980" s="36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</row>
    <row r="2981" spans="1:203" s="58" customFormat="1" ht="30" customHeight="1" x14ac:dyDescent="0.4">
      <c r="A2981" s="72">
        <f>A2979+1</f>
        <v>1262</v>
      </c>
      <c r="B2981" s="25" t="s">
        <v>308</v>
      </c>
      <c r="C2981" s="89" t="s">
        <v>19</v>
      </c>
      <c r="D2981" s="105">
        <f>0.7*0.5*80</f>
        <v>28</v>
      </c>
      <c r="E2981" s="91"/>
      <c r="F2981" s="57"/>
    </row>
    <row r="2982" spans="1:203" s="58" customFormat="1" ht="30" customHeight="1" x14ac:dyDescent="0.4">
      <c r="A2982" s="72">
        <f>A2981+1</f>
        <v>1263</v>
      </c>
      <c r="B2982" s="25" t="s">
        <v>309</v>
      </c>
      <c r="C2982" s="89" t="s">
        <v>19</v>
      </c>
      <c r="D2982" s="105">
        <f>0.7*0.5*80</f>
        <v>28</v>
      </c>
      <c r="E2982" s="91"/>
      <c r="F2982" s="57"/>
    </row>
    <row r="2983" spans="1:203" s="58" customFormat="1" ht="30" customHeight="1" x14ac:dyDescent="0.4">
      <c r="A2983" s="24">
        <f>A2982+1</f>
        <v>1264</v>
      </c>
      <c r="B2983" s="25" t="s">
        <v>310</v>
      </c>
      <c r="C2983" s="89" t="s">
        <v>19</v>
      </c>
      <c r="D2983" s="105">
        <f>0.7*0.5*80</f>
        <v>28</v>
      </c>
      <c r="E2983" s="91"/>
      <c r="F2983" s="57"/>
    </row>
    <row r="2984" spans="1:203" s="58" customFormat="1" ht="30" customHeight="1" x14ac:dyDescent="0.4">
      <c r="A2984" s="24">
        <f>A2983+1</f>
        <v>1265</v>
      </c>
      <c r="B2984" s="59" t="s">
        <v>403</v>
      </c>
      <c r="C2984" s="70" t="s">
        <v>132</v>
      </c>
      <c r="D2984" s="40">
        <v>80</v>
      </c>
      <c r="E2984" s="66"/>
      <c r="F2984" s="57"/>
    </row>
    <row r="2985" spans="1:203" s="58" customFormat="1" ht="30" hidden="1" customHeight="1" outlineLevel="1" x14ac:dyDescent="0.4">
      <c r="A2985" s="54"/>
      <c r="B2985" s="48" t="s">
        <v>404</v>
      </c>
      <c r="C2985" s="49" t="s">
        <v>14</v>
      </c>
      <c r="D2985" s="65">
        <f>78*1.26/1000</f>
        <v>9.8280000000000006E-2</v>
      </c>
      <c r="E2985" s="51">
        <v>9.8000000000000004E-2</v>
      </c>
      <c r="F2985" s="57"/>
    </row>
    <row r="2986" spans="1:203" ht="36" customHeight="1" collapsed="1" x14ac:dyDescent="0.35">
      <c r="A2986" s="24">
        <f>A2984+1</f>
        <v>1266</v>
      </c>
      <c r="B2986" s="59" t="s">
        <v>405</v>
      </c>
      <c r="C2986" s="26" t="s">
        <v>58</v>
      </c>
      <c r="D2986" s="82">
        <v>6</v>
      </c>
      <c r="E2986" s="41"/>
      <c r="F2986" s="42"/>
    </row>
    <row r="2987" spans="1:203" s="58" customFormat="1" ht="30" hidden="1" customHeight="1" outlineLevel="1" x14ac:dyDescent="0.4">
      <c r="A2987" s="54"/>
      <c r="B2987" s="48" t="s">
        <v>406</v>
      </c>
      <c r="C2987" s="49" t="s">
        <v>14</v>
      </c>
      <c r="D2987" s="65">
        <f>30*1.58/1000</f>
        <v>4.7400000000000005E-2</v>
      </c>
      <c r="E2987" s="51">
        <v>4.7E-2</v>
      </c>
      <c r="F2987" s="57"/>
    </row>
    <row r="2988" spans="1:203" s="58" customFormat="1" ht="30" customHeight="1" collapsed="1" x14ac:dyDescent="0.4">
      <c r="A2988" s="24">
        <f>A2986+1</f>
        <v>1267</v>
      </c>
      <c r="B2988" s="71" t="s">
        <v>315</v>
      </c>
      <c r="C2988" s="40" t="s">
        <v>132</v>
      </c>
      <c r="D2988" s="67">
        <v>130</v>
      </c>
      <c r="E2988" s="66"/>
      <c r="F2988" s="57"/>
    </row>
    <row r="2989" spans="1:203" s="58" customFormat="1" ht="30" hidden="1" customHeight="1" outlineLevel="1" x14ac:dyDescent="0.4">
      <c r="A2989" s="87"/>
      <c r="B2989" s="48" t="s">
        <v>314</v>
      </c>
      <c r="C2989" s="75" t="s">
        <v>14</v>
      </c>
      <c r="D2989" s="65">
        <f>130*1.26/1000</f>
        <v>0.1638</v>
      </c>
      <c r="E2989" s="88">
        <v>0.16400000000000001</v>
      </c>
      <c r="F2989" s="57"/>
    </row>
    <row r="2990" spans="1:203" ht="36" customHeight="1" collapsed="1" x14ac:dyDescent="0.35">
      <c r="A2990" s="24">
        <f>A2988+1</f>
        <v>1268</v>
      </c>
      <c r="B2990" s="59" t="s">
        <v>316</v>
      </c>
      <c r="C2990" s="26" t="s">
        <v>132</v>
      </c>
      <c r="D2990" s="82">
        <v>20</v>
      </c>
      <c r="E2990" s="41"/>
      <c r="F2990" s="42"/>
    </row>
    <row r="2991" spans="1:203" s="58" customFormat="1" ht="30" hidden="1" customHeight="1" outlineLevel="1" x14ac:dyDescent="0.4">
      <c r="A2991" s="54"/>
      <c r="B2991" s="48" t="s">
        <v>407</v>
      </c>
      <c r="C2991" s="49" t="s">
        <v>132</v>
      </c>
      <c r="D2991" s="55">
        <v>20</v>
      </c>
      <c r="E2991" s="51"/>
      <c r="F2991" s="57"/>
    </row>
    <row r="2992" spans="1:203" s="58" customFormat="1" ht="30" hidden="1" customHeight="1" outlineLevel="1" x14ac:dyDescent="0.4">
      <c r="A2992" s="54"/>
      <c r="B2992" s="48" t="s">
        <v>408</v>
      </c>
      <c r="C2992" s="49" t="s">
        <v>58</v>
      </c>
      <c r="D2992" s="55">
        <v>40</v>
      </c>
      <c r="E2992" s="51"/>
      <c r="F2992" s="57"/>
    </row>
    <row r="2993" spans="1:28" s="58" customFormat="1" ht="30" hidden="1" customHeight="1" outlineLevel="1" x14ac:dyDescent="0.4">
      <c r="A2993" s="54"/>
      <c r="B2993" s="48" t="s">
        <v>409</v>
      </c>
      <c r="C2993" s="49" t="s">
        <v>58</v>
      </c>
      <c r="D2993" s="55">
        <v>40</v>
      </c>
      <c r="E2993" s="51"/>
      <c r="F2993" s="57"/>
    </row>
    <row r="2994" spans="1:28" s="58" customFormat="1" ht="30" hidden="1" customHeight="1" outlineLevel="1" x14ac:dyDescent="0.4">
      <c r="A2994" s="54"/>
      <c r="B2994" s="48" t="s">
        <v>410</v>
      </c>
      <c r="C2994" s="49" t="s">
        <v>58</v>
      </c>
      <c r="D2994" s="55">
        <v>40</v>
      </c>
      <c r="E2994" s="51"/>
      <c r="F2994" s="57"/>
    </row>
    <row r="2995" spans="1:28" s="58" customFormat="1" ht="30" hidden="1" customHeight="1" outlineLevel="1" x14ac:dyDescent="0.4">
      <c r="A2995" s="54"/>
      <c r="B2995" s="48" t="s">
        <v>411</v>
      </c>
      <c r="C2995" s="49" t="s">
        <v>58</v>
      </c>
      <c r="D2995" s="55">
        <v>80</v>
      </c>
      <c r="E2995" s="51"/>
      <c r="F2995" s="57"/>
    </row>
    <row r="2996" spans="1:28" s="39" customFormat="1" ht="21" customHeight="1" collapsed="1" x14ac:dyDescent="0.35">
      <c r="A2996" s="158" t="s">
        <v>994</v>
      </c>
      <c r="B2996" s="158"/>
      <c r="C2996" s="158"/>
      <c r="D2996" s="158"/>
      <c r="E2996" s="158"/>
      <c r="F2996" s="34"/>
      <c r="G2996" s="35"/>
      <c r="H2996" s="36"/>
      <c r="I2996" s="37"/>
      <c r="J2996" s="37"/>
      <c r="K2996" s="38"/>
      <c r="L2996" s="38"/>
      <c r="M2996" s="38"/>
      <c r="N2996" s="36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</row>
    <row r="2997" spans="1:28" ht="31" customHeight="1" x14ac:dyDescent="0.35">
      <c r="A2997" s="24">
        <f>A2990+1</f>
        <v>1269</v>
      </c>
      <c r="B2997" s="25" t="s">
        <v>577</v>
      </c>
      <c r="C2997" s="89" t="s">
        <v>578</v>
      </c>
      <c r="D2997" s="26">
        <v>4</v>
      </c>
      <c r="E2997" s="41"/>
      <c r="F2997" s="42"/>
    </row>
    <row r="2998" spans="1:28" ht="30.9" hidden="1" outlineLevel="1" x14ac:dyDescent="0.35">
      <c r="A2998" s="47"/>
      <c r="B2998" s="48" t="s">
        <v>579</v>
      </c>
      <c r="C2998" s="49" t="s">
        <v>58</v>
      </c>
      <c r="D2998" s="49">
        <v>4</v>
      </c>
      <c r="E2998" s="78"/>
      <c r="F2998" s="42"/>
    </row>
    <row r="2999" spans="1:28" ht="31" customHeight="1" collapsed="1" x14ac:dyDescent="0.35">
      <c r="A2999" s="24">
        <f>A2997+1</f>
        <v>1270</v>
      </c>
      <c r="B2999" s="25" t="s">
        <v>580</v>
      </c>
      <c r="C2999" s="89" t="s">
        <v>58</v>
      </c>
      <c r="D2999" s="26">
        <v>1</v>
      </c>
      <c r="E2999" s="41"/>
      <c r="F2999" s="42"/>
    </row>
    <row r="3000" spans="1:28" ht="123.45" hidden="1" outlineLevel="1" x14ac:dyDescent="0.35">
      <c r="A3000" s="47"/>
      <c r="B3000" s="48" t="s">
        <v>581</v>
      </c>
      <c r="C3000" s="49" t="s">
        <v>58</v>
      </c>
      <c r="D3000" s="49">
        <v>1</v>
      </c>
      <c r="E3000" s="78"/>
      <c r="F3000" s="42"/>
    </row>
    <row r="3001" spans="1:28" s="58" customFormat="1" ht="30" customHeight="1" collapsed="1" x14ac:dyDescent="0.4">
      <c r="A3001" s="24">
        <f>A2999+1</f>
        <v>1271</v>
      </c>
      <c r="B3001" s="25" t="s">
        <v>431</v>
      </c>
      <c r="C3001" s="89" t="s">
        <v>132</v>
      </c>
      <c r="D3001" s="90">
        <v>702</v>
      </c>
      <c r="E3001" s="91"/>
      <c r="F3001" s="57"/>
    </row>
    <row r="3002" spans="1:28" s="58" customFormat="1" ht="30" hidden="1" customHeight="1" outlineLevel="1" x14ac:dyDescent="0.4">
      <c r="A3002" s="87"/>
      <c r="B3002" s="48" t="s">
        <v>454</v>
      </c>
      <c r="C3002" s="75" t="s">
        <v>132</v>
      </c>
      <c r="D3002" s="74">
        <v>280</v>
      </c>
      <c r="E3002" s="88">
        <v>8.6999999999999994E-2</v>
      </c>
      <c r="F3002" s="57"/>
    </row>
    <row r="3003" spans="1:28" s="58" customFormat="1" ht="30" hidden="1" customHeight="1" outlineLevel="1" x14ac:dyDescent="0.4">
      <c r="A3003" s="87"/>
      <c r="B3003" s="48" t="s">
        <v>583</v>
      </c>
      <c r="C3003" s="75" t="s">
        <v>132</v>
      </c>
      <c r="D3003" s="74">
        <v>45</v>
      </c>
      <c r="E3003" s="88">
        <v>2.5000000000000001E-2</v>
      </c>
      <c r="F3003" s="57"/>
    </row>
    <row r="3004" spans="1:28" s="58" customFormat="1" ht="30" hidden="1" customHeight="1" outlineLevel="1" x14ac:dyDescent="0.4">
      <c r="A3004" s="87"/>
      <c r="B3004" s="48" t="s">
        <v>584</v>
      </c>
      <c r="C3004" s="75" t="s">
        <v>132</v>
      </c>
      <c r="D3004" s="74">
        <v>640</v>
      </c>
      <c r="E3004" s="88">
        <v>0.53600000000000003</v>
      </c>
      <c r="F3004" s="57"/>
    </row>
    <row r="3005" spans="1:28" s="58" customFormat="1" ht="30" hidden="1" customHeight="1" outlineLevel="1" x14ac:dyDescent="0.4">
      <c r="A3005" s="87"/>
      <c r="B3005" s="48" t="s">
        <v>441</v>
      </c>
      <c r="C3005" s="75" t="s">
        <v>58</v>
      </c>
      <c r="D3005" s="74">
        <v>32</v>
      </c>
      <c r="E3005" s="88"/>
      <c r="F3005" s="57"/>
    </row>
    <row r="3006" spans="1:28" s="58" customFormat="1" ht="30" customHeight="1" collapsed="1" x14ac:dyDescent="0.4">
      <c r="A3006" s="24">
        <f>A3001+1</f>
        <v>1272</v>
      </c>
      <c r="B3006" s="25" t="s">
        <v>316</v>
      </c>
      <c r="C3006" s="89" t="s">
        <v>132</v>
      </c>
      <c r="D3006" s="96">
        <v>20</v>
      </c>
      <c r="E3006" s="98"/>
      <c r="F3006" s="57"/>
      <c r="O3006" s="58" t="s">
        <v>442</v>
      </c>
    </row>
    <row r="3007" spans="1:28" s="58" customFormat="1" ht="30" hidden="1" customHeight="1" outlineLevel="1" x14ac:dyDescent="0.4">
      <c r="A3007" s="87"/>
      <c r="B3007" s="48" t="s">
        <v>317</v>
      </c>
      <c r="C3007" s="75" t="s">
        <v>132</v>
      </c>
      <c r="D3007" s="74">
        <v>20</v>
      </c>
      <c r="E3007" s="93"/>
      <c r="F3007" s="57"/>
    </row>
    <row r="3008" spans="1:28" s="58" customFormat="1" ht="30" customHeight="1" collapsed="1" x14ac:dyDescent="0.4">
      <c r="A3008" s="24">
        <f>A3006+1</f>
        <v>1273</v>
      </c>
      <c r="B3008" s="25" t="s">
        <v>340</v>
      </c>
      <c r="C3008" s="89" t="s">
        <v>132</v>
      </c>
      <c r="D3008" s="90">
        <v>156</v>
      </c>
      <c r="E3008" s="99"/>
      <c r="F3008" s="57"/>
    </row>
    <row r="3009" spans="1:203" s="58" customFormat="1" ht="30" hidden="1" customHeight="1" outlineLevel="1" x14ac:dyDescent="0.4">
      <c r="A3009" s="87"/>
      <c r="B3009" s="48" t="s">
        <v>341</v>
      </c>
      <c r="C3009" s="75" t="s">
        <v>14</v>
      </c>
      <c r="D3009" s="77">
        <f>156*1.66/1000*1.1</f>
        <v>0.284856</v>
      </c>
      <c r="E3009" s="88">
        <v>0.28499999999999998</v>
      </c>
      <c r="F3009" s="57"/>
    </row>
    <row r="3010" spans="1:203" s="58" customFormat="1" ht="30" customHeight="1" collapsed="1" x14ac:dyDescent="0.4">
      <c r="A3010" s="24">
        <f>A3008+1</f>
        <v>1274</v>
      </c>
      <c r="B3010" s="25" t="s">
        <v>284</v>
      </c>
      <c r="C3010" s="89" t="s">
        <v>132</v>
      </c>
      <c r="D3010" s="90">
        <v>174</v>
      </c>
      <c r="E3010" s="91"/>
      <c r="F3010" s="57"/>
    </row>
    <row r="3011" spans="1:203" s="58" customFormat="1" ht="30" hidden="1" customHeight="1" outlineLevel="1" x14ac:dyDescent="0.4">
      <c r="A3011" s="87"/>
      <c r="B3011" s="48" t="s">
        <v>342</v>
      </c>
      <c r="C3011" s="75" t="s">
        <v>132</v>
      </c>
      <c r="D3011" s="74">
        <v>89</v>
      </c>
      <c r="E3011" s="88"/>
      <c r="F3011" s="57"/>
    </row>
    <row r="3012" spans="1:203" s="58" customFormat="1" ht="30" hidden="1" customHeight="1" outlineLevel="1" x14ac:dyDescent="0.4">
      <c r="A3012" s="87"/>
      <c r="B3012" s="48" t="s">
        <v>587</v>
      </c>
      <c r="C3012" s="75" t="s">
        <v>132</v>
      </c>
      <c r="D3012" s="74">
        <v>12</v>
      </c>
      <c r="E3012" s="88"/>
      <c r="F3012" s="57"/>
    </row>
    <row r="3013" spans="1:203" s="58" customFormat="1" ht="30" hidden="1" customHeight="1" outlineLevel="1" x14ac:dyDescent="0.4">
      <c r="A3013" s="87"/>
      <c r="B3013" s="48" t="s">
        <v>343</v>
      </c>
      <c r="C3013" s="112" t="s">
        <v>58</v>
      </c>
      <c r="D3013" s="74">
        <v>14</v>
      </c>
      <c r="E3013" s="88"/>
      <c r="F3013" s="57"/>
    </row>
    <row r="3014" spans="1:203" s="58" customFormat="1" ht="30" hidden="1" customHeight="1" outlineLevel="1" x14ac:dyDescent="0.4">
      <c r="A3014" s="87"/>
      <c r="B3014" s="48" t="s">
        <v>348</v>
      </c>
      <c r="C3014" s="75" t="s">
        <v>349</v>
      </c>
      <c r="D3014" s="74">
        <v>1</v>
      </c>
      <c r="E3014" s="88"/>
      <c r="F3014" s="57"/>
    </row>
    <row r="3015" spans="1:203" s="58" customFormat="1" ht="30" customHeight="1" collapsed="1" x14ac:dyDescent="0.4">
      <c r="A3015" s="24">
        <f>A3010+1</f>
        <v>1275</v>
      </c>
      <c r="B3015" s="25" t="s">
        <v>588</v>
      </c>
      <c r="C3015" s="89" t="s">
        <v>58</v>
      </c>
      <c r="D3015" s="90">
        <v>2</v>
      </c>
      <c r="E3015" s="99"/>
      <c r="F3015" s="57"/>
    </row>
    <row r="3016" spans="1:203" s="58" customFormat="1" ht="30.9" hidden="1" outlineLevel="1" x14ac:dyDescent="0.4">
      <c r="A3016" s="87"/>
      <c r="B3016" s="48" t="s">
        <v>589</v>
      </c>
      <c r="C3016" s="75" t="s">
        <v>58</v>
      </c>
      <c r="D3016" s="74">
        <v>1</v>
      </c>
      <c r="E3016" s="88"/>
      <c r="F3016" s="57"/>
    </row>
    <row r="3017" spans="1:203" s="58" customFormat="1" ht="30.9" hidden="1" outlineLevel="1" x14ac:dyDescent="0.4">
      <c r="A3017" s="87"/>
      <c r="B3017" s="48" t="s">
        <v>995</v>
      </c>
      <c r="C3017" s="75" t="s">
        <v>58</v>
      </c>
      <c r="D3017" s="74">
        <v>1</v>
      </c>
      <c r="E3017" s="88"/>
      <c r="F3017" s="57"/>
    </row>
    <row r="3018" spans="1:203" s="43" customFormat="1" ht="31" customHeight="1" collapsed="1" x14ac:dyDescent="0.35">
      <c r="A3018" s="24">
        <f>A3015+1</f>
        <v>1276</v>
      </c>
      <c r="B3018" s="25" t="s">
        <v>592</v>
      </c>
      <c r="C3018" s="89" t="s">
        <v>58</v>
      </c>
      <c r="D3018" s="26">
        <v>4</v>
      </c>
      <c r="E3018" s="41"/>
      <c r="F3018" s="42"/>
      <c r="H3018" s="44"/>
      <c r="K3018" s="45"/>
      <c r="L3018" s="45"/>
      <c r="M3018" s="45"/>
      <c r="N3018" s="44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6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  <c r="BP3018" s="46"/>
      <c r="BQ3018" s="46"/>
      <c r="BR3018" s="46"/>
      <c r="BS3018" s="46"/>
      <c r="BT3018" s="46"/>
      <c r="BU3018" s="46"/>
      <c r="BV3018" s="46"/>
      <c r="BW3018" s="46"/>
      <c r="BX3018" s="46"/>
      <c r="BY3018" s="46"/>
      <c r="BZ3018" s="46"/>
      <c r="CA3018" s="46"/>
      <c r="CB3018" s="46"/>
      <c r="CC3018" s="46"/>
      <c r="CD3018" s="46"/>
      <c r="CE3018" s="46"/>
      <c r="CF3018" s="46"/>
      <c r="CG3018" s="46"/>
      <c r="CH3018" s="46"/>
      <c r="CI3018" s="46"/>
      <c r="CJ3018" s="46"/>
      <c r="CK3018" s="46"/>
      <c r="CL3018" s="46"/>
      <c r="CM3018" s="46"/>
      <c r="CN3018" s="46"/>
      <c r="CO3018" s="46"/>
      <c r="CP3018" s="46"/>
      <c r="CQ3018" s="46"/>
      <c r="CR3018" s="46"/>
      <c r="CS3018" s="46"/>
      <c r="CT3018" s="46"/>
      <c r="CU3018" s="46"/>
      <c r="CV3018" s="46"/>
      <c r="CW3018" s="46"/>
      <c r="CX3018" s="46"/>
      <c r="CY3018" s="46"/>
      <c r="CZ3018" s="46"/>
      <c r="DA3018" s="46"/>
      <c r="DB3018" s="46"/>
      <c r="DC3018" s="46"/>
      <c r="DD3018" s="46"/>
      <c r="DE3018" s="46"/>
      <c r="DF3018" s="46"/>
      <c r="DG3018" s="46"/>
      <c r="DH3018" s="46"/>
      <c r="DI3018" s="46"/>
      <c r="DJ3018" s="46"/>
      <c r="DK3018" s="46"/>
      <c r="DL3018" s="46"/>
      <c r="DM3018" s="46"/>
      <c r="DN3018" s="46"/>
      <c r="DO3018" s="46"/>
      <c r="DP3018" s="46"/>
      <c r="DQ3018" s="46"/>
      <c r="DR3018" s="46"/>
      <c r="DS3018" s="46"/>
      <c r="DT3018" s="46"/>
      <c r="DU3018" s="46"/>
      <c r="DV3018" s="46"/>
      <c r="DW3018" s="46"/>
      <c r="DX3018" s="46"/>
      <c r="DY3018" s="46"/>
      <c r="DZ3018" s="46"/>
      <c r="EA3018" s="46"/>
      <c r="EB3018" s="46"/>
      <c r="EC3018" s="46"/>
      <c r="ED3018" s="46"/>
      <c r="EE3018" s="46"/>
      <c r="EF3018" s="46"/>
      <c r="EG3018" s="46"/>
      <c r="EH3018" s="46"/>
      <c r="EI3018" s="46"/>
      <c r="EJ3018" s="46"/>
      <c r="EK3018" s="46"/>
      <c r="EL3018" s="46"/>
      <c r="EM3018" s="46"/>
      <c r="EN3018" s="46"/>
      <c r="EO3018" s="46"/>
      <c r="EP3018" s="46"/>
      <c r="EQ3018" s="46"/>
      <c r="ER3018" s="46"/>
      <c r="ES3018" s="46"/>
      <c r="ET3018" s="46"/>
      <c r="EU3018" s="46"/>
      <c r="EV3018" s="46"/>
      <c r="EW3018" s="46"/>
      <c r="EX3018" s="46"/>
      <c r="EY3018" s="46"/>
      <c r="EZ3018" s="46"/>
      <c r="FA3018" s="46"/>
      <c r="FB3018" s="46"/>
      <c r="FC3018" s="46"/>
      <c r="FD3018" s="46"/>
      <c r="FE3018" s="46"/>
      <c r="FF3018" s="46"/>
      <c r="FG3018" s="46"/>
      <c r="FH3018" s="46"/>
      <c r="FI3018" s="46"/>
      <c r="FJ3018" s="46"/>
      <c r="FK3018" s="46"/>
      <c r="FL3018" s="46"/>
      <c r="FM3018" s="46"/>
      <c r="FN3018" s="46"/>
      <c r="FO3018" s="46"/>
      <c r="FP3018" s="46"/>
      <c r="FQ3018" s="46"/>
      <c r="FR3018" s="46"/>
      <c r="FS3018" s="46"/>
      <c r="FT3018" s="46"/>
      <c r="FU3018" s="46"/>
      <c r="FV3018" s="46"/>
      <c r="FW3018" s="46"/>
      <c r="FX3018" s="46"/>
      <c r="FY3018" s="46"/>
      <c r="FZ3018" s="46"/>
      <c r="GA3018" s="46"/>
      <c r="GB3018" s="46"/>
      <c r="GC3018" s="46"/>
      <c r="GD3018" s="46"/>
      <c r="GE3018" s="46"/>
      <c r="GF3018" s="46"/>
      <c r="GG3018" s="46"/>
      <c r="GH3018" s="46"/>
      <c r="GI3018" s="46"/>
      <c r="GJ3018" s="46"/>
      <c r="GK3018" s="46"/>
      <c r="GL3018" s="46"/>
      <c r="GM3018" s="46"/>
      <c r="GN3018" s="46"/>
      <c r="GO3018" s="46"/>
      <c r="GP3018" s="46"/>
      <c r="GQ3018" s="46"/>
      <c r="GR3018" s="46"/>
      <c r="GS3018" s="46"/>
      <c r="GT3018" s="46"/>
      <c r="GU3018" s="46"/>
    </row>
    <row r="3019" spans="1:203" s="43" customFormat="1" ht="30" hidden="1" customHeight="1" outlineLevel="1" x14ac:dyDescent="0.35">
      <c r="A3019" s="47"/>
      <c r="B3019" s="48" t="s">
        <v>593</v>
      </c>
      <c r="C3019" s="49" t="s">
        <v>58</v>
      </c>
      <c r="D3019" s="49">
        <v>5</v>
      </c>
      <c r="E3019" s="78"/>
      <c r="F3019" s="42"/>
      <c r="H3019" s="44"/>
      <c r="K3019" s="45"/>
      <c r="L3019" s="45"/>
      <c r="M3019" s="45"/>
      <c r="N3019" s="44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6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  <c r="BP3019" s="46"/>
      <c r="BQ3019" s="46"/>
      <c r="BR3019" s="46"/>
      <c r="BS3019" s="46"/>
      <c r="BT3019" s="46"/>
      <c r="BU3019" s="46"/>
      <c r="BV3019" s="46"/>
      <c r="BW3019" s="46"/>
      <c r="BX3019" s="46"/>
      <c r="BY3019" s="46"/>
      <c r="BZ3019" s="46"/>
      <c r="CA3019" s="46"/>
      <c r="CB3019" s="46"/>
      <c r="CC3019" s="46"/>
      <c r="CD3019" s="46"/>
      <c r="CE3019" s="46"/>
      <c r="CF3019" s="46"/>
      <c r="CG3019" s="46"/>
      <c r="CH3019" s="46"/>
      <c r="CI3019" s="46"/>
      <c r="CJ3019" s="46"/>
      <c r="CK3019" s="46"/>
      <c r="CL3019" s="46"/>
      <c r="CM3019" s="46"/>
      <c r="CN3019" s="46"/>
      <c r="CO3019" s="46"/>
      <c r="CP3019" s="46"/>
      <c r="CQ3019" s="46"/>
      <c r="CR3019" s="46"/>
      <c r="CS3019" s="46"/>
      <c r="CT3019" s="46"/>
      <c r="CU3019" s="46"/>
      <c r="CV3019" s="46"/>
      <c r="CW3019" s="46"/>
      <c r="CX3019" s="46"/>
      <c r="CY3019" s="46"/>
      <c r="CZ3019" s="46"/>
      <c r="DA3019" s="46"/>
      <c r="DB3019" s="46"/>
      <c r="DC3019" s="46"/>
      <c r="DD3019" s="46"/>
      <c r="DE3019" s="46"/>
      <c r="DF3019" s="46"/>
      <c r="DG3019" s="46"/>
      <c r="DH3019" s="46"/>
      <c r="DI3019" s="46"/>
      <c r="DJ3019" s="46"/>
      <c r="DK3019" s="46"/>
      <c r="DL3019" s="46"/>
      <c r="DM3019" s="46"/>
      <c r="DN3019" s="46"/>
      <c r="DO3019" s="46"/>
      <c r="DP3019" s="46"/>
      <c r="DQ3019" s="46"/>
      <c r="DR3019" s="46"/>
      <c r="DS3019" s="46"/>
      <c r="DT3019" s="46"/>
      <c r="DU3019" s="46"/>
      <c r="DV3019" s="46"/>
      <c r="DW3019" s="46"/>
      <c r="DX3019" s="46"/>
      <c r="DY3019" s="46"/>
      <c r="DZ3019" s="46"/>
      <c r="EA3019" s="46"/>
      <c r="EB3019" s="46"/>
      <c r="EC3019" s="46"/>
      <c r="ED3019" s="46"/>
      <c r="EE3019" s="46"/>
      <c r="EF3019" s="46"/>
      <c r="EG3019" s="46"/>
      <c r="EH3019" s="46"/>
      <c r="EI3019" s="46"/>
      <c r="EJ3019" s="46"/>
      <c r="EK3019" s="46"/>
      <c r="EL3019" s="46"/>
      <c r="EM3019" s="46"/>
      <c r="EN3019" s="46"/>
      <c r="EO3019" s="46"/>
      <c r="EP3019" s="46"/>
      <c r="EQ3019" s="46"/>
      <c r="ER3019" s="46"/>
      <c r="ES3019" s="46"/>
      <c r="ET3019" s="46"/>
      <c r="EU3019" s="46"/>
      <c r="EV3019" s="46"/>
      <c r="EW3019" s="46"/>
      <c r="EX3019" s="46"/>
      <c r="EY3019" s="46"/>
      <c r="EZ3019" s="46"/>
      <c r="FA3019" s="46"/>
      <c r="FB3019" s="46"/>
      <c r="FC3019" s="46"/>
      <c r="FD3019" s="46"/>
      <c r="FE3019" s="46"/>
      <c r="FF3019" s="46"/>
      <c r="FG3019" s="46"/>
      <c r="FH3019" s="46"/>
      <c r="FI3019" s="46"/>
      <c r="FJ3019" s="46"/>
      <c r="FK3019" s="46"/>
      <c r="FL3019" s="46"/>
      <c r="FM3019" s="46"/>
      <c r="FN3019" s="46"/>
      <c r="FO3019" s="46"/>
      <c r="FP3019" s="46"/>
      <c r="FQ3019" s="46"/>
      <c r="FR3019" s="46"/>
      <c r="FS3019" s="46"/>
      <c r="FT3019" s="46"/>
      <c r="FU3019" s="46"/>
      <c r="FV3019" s="46"/>
      <c r="FW3019" s="46"/>
      <c r="FX3019" s="46"/>
      <c r="FY3019" s="46"/>
      <c r="FZ3019" s="46"/>
      <c r="GA3019" s="46"/>
      <c r="GB3019" s="46"/>
      <c r="GC3019" s="46"/>
      <c r="GD3019" s="46"/>
      <c r="GE3019" s="46"/>
      <c r="GF3019" s="46"/>
      <c r="GG3019" s="46"/>
      <c r="GH3019" s="46"/>
      <c r="GI3019" s="46"/>
      <c r="GJ3019" s="46"/>
      <c r="GK3019" s="46"/>
      <c r="GL3019" s="46"/>
      <c r="GM3019" s="46"/>
      <c r="GN3019" s="46"/>
      <c r="GO3019" s="46"/>
      <c r="GP3019" s="46"/>
      <c r="GQ3019" s="46"/>
      <c r="GR3019" s="46"/>
      <c r="GS3019" s="46"/>
      <c r="GT3019" s="46"/>
      <c r="GU3019" s="46"/>
    </row>
    <row r="3020" spans="1:203" s="43" customFormat="1" ht="30" hidden="1" customHeight="1" outlineLevel="1" x14ac:dyDescent="0.35">
      <c r="A3020" s="47"/>
      <c r="B3020" s="48" t="s">
        <v>594</v>
      </c>
      <c r="C3020" s="49" t="s">
        <v>58</v>
      </c>
      <c r="D3020" s="49">
        <v>4</v>
      </c>
      <c r="E3020" s="78"/>
      <c r="F3020" s="42"/>
      <c r="H3020" s="44"/>
      <c r="K3020" s="45"/>
      <c r="L3020" s="45"/>
      <c r="M3020" s="45"/>
      <c r="N3020" s="44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6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  <c r="BP3020" s="46"/>
      <c r="BQ3020" s="46"/>
      <c r="BR3020" s="46"/>
      <c r="BS3020" s="46"/>
      <c r="BT3020" s="46"/>
      <c r="BU3020" s="46"/>
      <c r="BV3020" s="46"/>
      <c r="BW3020" s="46"/>
      <c r="BX3020" s="46"/>
      <c r="BY3020" s="46"/>
      <c r="BZ3020" s="46"/>
      <c r="CA3020" s="46"/>
      <c r="CB3020" s="46"/>
      <c r="CC3020" s="46"/>
      <c r="CD3020" s="46"/>
      <c r="CE3020" s="46"/>
      <c r="CF3020" s="46"/>
      <c r="CG3020" s="46"/>
      <c r="CH3020" s="46"/>
      <c r="CI3020" s="46"/>
      <c r="CJ3020" s="46"/>
      <c r="CK3020" s="46"/>
      <c r="CL3020" s="46"/>
      <c r="CM3020" s="46"/>
      <c r="CN3020" s="46"/>
      <c r="CO3020" s="46"/>
      <c r="CP3020" s="46"/>
      <c r="CQ3020" s="46"/>
      <c r="CR3020" s="46"/>
      <c r="CS3020" s="46"/>
      <c r="CT3020" s="46"/>
      <c r="CU3020" s="46"/>
      <c r="CV3020" s="46"/>
      <c r="CW3020" s="46"/>
      <c r="CX3020" s="46"/>
      <c r="CY3020" s="46"/>
      <c r="CZ3020" s="46"/>
      <c r="DA3020" s="46"/>
      <c r="DB3020" s="46"/>
      <c r="DC3020" s="46"/>
      <c r="DD3020" s="46"/>
      <c r="DE3020" s="46"/>
      <c r="DF3020" s="46"/>
      <c r="DG3020" s="46"/>
      <c r="DH3020" s="46"/>
      <c r="DI3020" s="46"/>
      <c r="DJ3020" s="46"/>
      <c r="DK3020" s="46"/>
      <c r="DL3020" s="46"/>
      <c r="DM3020" s="46"/>
      <c r="DN3020" s="46"/>
      <c r="DO3020" s="46"/>
      <c r="DP3020" s="46"/>
      <c r="DQ3020" s="46"/>
      <c r="DR3020" s="46"/>
      <c r="DS3020" s="46"/>
      <c r="DT3020" s="46"/>
      <c r="DU3020" s="46"/>
      <c r="DV3020" s="46"/>
      <c r="DW3020" s="46"/>
      <c r="DX3020" s="46"/>
      <c r="DY3020" s="46"/>
      <c r="DZ3020" s="46"/>
      <c r="EA3020" s="46"/>
      <c r="EB3020" s="46"/>
      <c r="EC3020" s="46"/>
      <c r="ED3020" s="46"/>
      <c r="EE3020" s="46"/>
      <c r="EF3020" s="46"/>
      <c r="EG3020" s="46"/>
      <c r="EH3020" s="46"/>
      <c r="EI3020" s="46"/>
      <c r="EJ3020" s="46"/>
      <c r="EK3020" s="46"/>
      <c r="EL3020" s="46"/>
      <c r="EM3020" s="46"/>
      <c r="EN3020" s="46"/>
      <c r="EO3020" s="46"/>
      <c r="EP3020" s="46"/>
      <c r="EQ3020" s="46"/>
      <c r="ER3020" s="46"/>
      <c r="ES3020" s="46"/>
      <c r="ET3020" s="46"/>
      <c r="EU3020" s="46"/>
      <c r="EV3020" s="46"/>
      <c r="EW3020" s="46"/>
      <c r="EX3020" s="46"/>
      <c r="EY3020" s="46"/>
      <c r="EZ3020" s="46"/>
      <c r="FA3020" s="46"/>
      <c r="FB3020" s="46"/>
      <c r="FC3020" s="46"/>
      <c r="FD3020" s="46"/>
      <c r="FE3020" s="46"/>
      <c r="FF3020" s="46"/>
      <c r="FG3020" s="46"/>
      <c r="FH3020" s="46"/>
      <c r="FI3020" s="46"/>
      <c r="FJ3020" s="46"/>
      <c r="FK3020" s="46"/>
      <c r="FL3020" s="46"/>
      <c r="FM3020" s="46"/>
      <c r="FN3020" s="46"/>
      <c r="FO3020" s="46"/>
      <c r="FP3020" s="46"/>
      <c r="FQ3020" s="46"/>
      <c r="FR3020" s="46"/>
      <c r="FS3020" s="46"/>
      <c r="FT3020" s="46"/>
      <c r="FU3020" s="46"/>
      <c r="FV3020" s="46"/>
      <c r="FW3020" s="46"/>
      <c r="FX3020" s="46"/>
      <c r="FY3020" s="46"/>
      <c r="FZ3020" s="46"/>
      <c r="GA3020" s="46"/>
      <c r="GB3020" s="46"/>
      <c r="GC3020" s="46"/>
      <c r="GD3020" s="46"/>
      <c r="GE3020" s="46"/>
      <c r="GF3020" s="46"/>
      <c r="GG3020" s="46"/>
      <c r="GH3020" s="46"/>
      <c r="GI3020" s="46"/>
      <c r="GJ3020" s="46"/>
      <c r="GK3020" s="46"/>
      <c r="GL3020" s="46"/>
      <c r="GM3020" s="46"/>
      <c r="GN3020" s="46"/>
      <c r="GO3020" s="46"/>
      <c r="GP3020" s="46"/>
      <c r="GQ3020" s="46"/>
      <c r="GR3020" s="46"/>
      <c r="GS3020" s="46"/>
      <c r="GT3020" s="46"/>
      <c r="GU3020" s="46"/>
    </row>
    <row r="3021" spans="1:203" s="43" customFormat="1" ht="31" customHeight="1" collapsed="1" x14ac:dyDescent="0.35">
      <c r="A3021" s="24">
        <f>A3018+1</f>
        <v>1277</v>
      </c>
      <c r="B3021" s="25" t="s">
        <v>595</v>
      </c>
      <c r="C3021" s="89" t="s">
        <v>58</v>
      </c>
      <c r="D3021" s="26">
        <v>5</v>
      </c>
      <c r="E3021" s="41"/>
      <c r="F3021" s="42"/>
      <c r="H3021" s="44"/>
      <c r="K3021" s="45"/>
      <c r="L3021" s="45"/>
      <c r="M3021" s="45"/>
      <c r="N3021" s="44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6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  <c r="BP3021" s="46"/>
      <c r="BQ3021" s="46"/>
      <c r="BR3021" s="46"/>
      <c r="BS3021" s="46"/>
      <c r="BT3021" s="46"/>
      <c r="BU3021" s="46"/>
      <c r="BV3021" s="46"/>
      <c r="BW3021" s="46"/>
      <c r="BX3021" s="46"/>
      <c r="BY3021" s="46"/>
      <c r="BZ3021" s="46"/>
      <c r="CA3021" s="46"/>
      <c r="CB3021" s="46"/>
      <c r="CC3021" s="46"/>
      <c r="CD3021" s="46"/>
      <c r="CE3021" s="46"/>
      <c r="CF3021" s="46"/>
      <c r="CG3021" s="46"/>
      <c r="CH3021" s="46"/>
      <c r="CI3021" s="46"/>
      <c r="CJ3021" s="46"/>
      <c r="CK3021" s="46"/>
      <c r="CL3021" s="46"/>
      <c r="CM3021" s="46"/>
      <c r="CN3021" s="46"/>
      <c r="CO3021" s="46"/>
      <c r="CP3021" s="46"/>
      <c r="CQ3021" s="46"/>
      <c r="CR3021" s="46"/>
      <c r="CS3021" s="46"/>
      <c r="CT3021" s="46"/>
      <c r="CU3021" s="46"/>
      <c r="CV3021" s="46"/>
      <c r="CW3021" s="46"/>
      <c r="CX3021" s="46"/>
      <c r="CY3021" s="46"/>
      <c r="CZ3021" s="46"/>
      <c r="DA3021" s="46"/>
      <c r="DB3021" s="46"/>
      <c r="DC3021" s="46"/>
      <c r="DD3021" s="46"/>
      <c r="DE3021" s="46"/>
      <c r="DF3021" s="46"/>
      <c r="DG3021" s="46"/>
      <c r="DH3021" s="46"/>
      <c r="DI3021" s="46"/>
      <c r="DJ3021" s="46"/>
      <c r="DK3021" s="46"/>
      <c r="DL3021" s="46"/>
      <c r="DM3021" s="46"/>
      <c r="DN3021" s="46"/>
      <c r="DO3021" s="46"/>
      <c r="DP3021" s="46"/>
      <c r="DQ3021" s="46"/>
      <c r="DR3021" s="46"/>
      <c r="DS3021" s="46"/>
      <c r="DT3021" s="46"/>
      <c r="DU3021" s="46"/>
      <c r="DV3021" s="46"/>
      <c r="DW3021" s="46"/>
      <c r="DX3021" s="46"/>
      <c r="DY3021" s="46"/>
      <c r="DZ3021" s="46"/>
      <c r="EA3021" s="46"/>
      <c r="EB3021" s="46"/>
      <c r="EC3021" s="46"/>
      <c r="ED3021" s="46"/>
      <c r="EE3021" s="46"/>
      <c r="EF3021" s="46"/>
      <c r="EG3021" s="46"/>
      <c r="EH3021" s="46"/>
      <c r="EI3021" s="46"/>
      <c r="EJ3021" s="46"/>
      <c r="EK3021" s="46"/>
      <c r="EL3021" s="46"/>
      <c r="EM3021" s="46"/>
      <c r="EN3021" s="46"/>
      <c r="EO3021" s="46"/>
      <c r="EP3021" s="46"/>
      <c r="EQ3021" s="46"/>
      <c r="ER3021" s="46"/>
      <c r="ES3021" s="46"/>
      <c r="ET3021" s="46"/>
      <c r="EU3021" s="46"/>
      <c r="EV3021" s="46"/>
      <c r="EW3021" s="46"/>
      <c r="EX3021" s="46"/>
      <c r="EY3021" s="46"/>
      <c r="EZ3021" s="46"/>
      <c r="FA3021" s="46"/>
      <c r="FB3021" s="46"/>
      <c r="FC3021" s="46"/>
      <c r="FD3021" s="46"/>
      <c r="FE3021" s="46"/>
      <c r="FF3021" s="46"/>
      <c r="FG3021" s="46"/>
      <c r="FH3021" s="46"/>
      <c r="FI3021" s="46"/>
      <c r="FJ3021" s="46"/>
      <c r="FK3021" s="46"/>
      <c r="FL3021" s="46"/>
      <c r="FM3021" s="46"/>
      <c r="FN3021" s="46"/>
      <c r="FO3021" s="46"/>
      <c r="FP3021" s="46"/>
      <c r="FQ3021" s="46"/>
      <c r="FR3021" s="46"/>
      <c r="FS3021" s="46"/>
      <c r="FT3021" s="46"/>
      <c r="FU3021" s="46"/>
      <c r="FV3021" s="46"/>
      <c r="FW3021" s="46"/>
      <c r="FX3021" s="46"/>
      <c r="FY3021" s="46"/>
      <c r="FZ3021" s="46"/>
      <c r="GA3021" s="46"/>
      <c r="GB3021" s="46"/>
      <c r="GC3021" s="46"/>
      <c r="GD3021" s="46"/>
      <c r="GE3021" s="46"/>
      <c r="GF3021" s="46"/>
      <c r="GG3021" s="46"/>
      <c r="GH3021" s="46"/>
      <c r="GI3021" s="46"/>
      <c r="GJ3021" s="46"/>
      <c r="GK3021" s="46"/>
      <c r="GL3021" s="46"/>
      <c r="GM3021" s="46"/>
      <c r="GN3021" s="46"/>
      <c r="GO3021" s="46"/>
      <c r="GP3021" s="46"/>
      <c r="GQ3021" s="46"/>
      <c r="GR3021" s="46"/>
      <c r="GS3021" s="46"/>
      <c r="GT3021" s="46"/>
      <c r="GU3021" s="46"/>
    </row>
    <row r="3022" spans="1:203" s="43" customFormat="1" ht="30" hidden="1" customHeight="1" outlineLevel="1" x14ac:dyDescent="0.35">
      <c r="A3022" s="47"/>
      <c r="B3022" s="48" t="s">
        <v>596</v>
      </c>
      <c r="C3022" s="49" t="s">
        <v>58</v>
      </c>
      <c r="D3022" s="49">
        <v>4</v>
      </c>
      <c r="E3022" s="78"/>
      <c r="F3022" s="42"/>
      <c r="H3022" s="44"/>
      <c r="K3022" s="45"/>
      <c r="L3022" s="45"/>
      <c r="M3022" s="45"/>
      <c r="N3022" s="44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6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  <c r="BP3022" s="46"/>
      <c r="BQ3022" s="46"/>
      <c r="BR3022" s="46"/>
      <c r="BS3022" s="46"/>
      <c r="BT3022" s="46"/>
      <c r="BU3022" s="46"/>
      <c r="BV3022" s="46"/>
      <c r="BW3022" s="46"/>
      <c r="BX3022" s="46"/>
      <c r="BY3022" s="46"/>
      <c r="BZ3022" s="46"/>
      <c r="CA3022" s="46"/>
      <c r="CB3022" s="46"/>
      <c r="CC3022" s="46"/>
      <c r="CD3022" s="46"/>
      <c r="CE3022" s="46"/>
      <c r="CF3022" s="46"/>
      <c r="CG3022" s="46"/>
      <c r="CH3022" s="46"/>
      <c r="CI3022" s="46"/>
      <c r="CJ3022" s="46"/>
      <c r="CK3022" s="46"/>
      <c r="CL3022" s="46"/>
      <c r="CM3022" s="46"/>
      <c r="CN3022" s="46"/>
      <c r="CO3022" s="46"/>
      <c r="CP3022" s="46"/>
      <c r="CQ3022" s="46"/>
      <c r="CR3022" s="46"/>
      <c r="CS3022" s="46"/>
      <c r="CT3022" s="46"/>
      <c r="CU3022" s="46"/>
      <c r="CV3022" s="46"/>
      <c r="CW3022" s="46"/>
      <c r="CX3022" s="46"/>
      <c r="CY3022" s="46"/>
      <c r="CZ3022" s="46"/>
      <c r="DA3022" s="46"/>
      <c r="DB3022" s="46"/>
      <c r="DC3022" s="46"/>
      <c r="DD3022" s="46"/>
      <c r="DE3022" s="46"/>
      <c r="DF3022" s="46"/>
      <c r="DG3022" s="46"/>
      <c r="DH3022" s="46"/>
      <c r="DI3022" s="46"/>
      <c r="DJ3022" s="46"/>
      <c r="DK3022" s="46"/>
      <c r="DL3022" s="46"/>
      <c r="DM3022" s="46"/>
      <c r="DN3022" s="46"/>
      <c r="DO3022" s="46"/>
      <c r="DP3022" s="46"/>
      <c r="DQ3022" s="46"/>
      <c r="DR3022" s="46"/>
      <c r="DS3022" s="46"/>
      <c r="DT3022" s="46"/>
      <c r="DU3022" s="46"/>
      <c r="DV3022" s="46"/>
      <c r="DW3022" s="46"/>
      <c r="DX3022" s="46"/>
      <c r="DY3022" s="46"/>
      <c r="DZ3022" s="46"/>
      <c r="EA3022" s="46"/>
      <c r="EB3022" s="46"/>
      <c r="EC3022" s="46"/>
      <c r="ED3022" s="46"/>
      <c r="EE3022" s="46"/>
      <c r="EF3022" s="46"/>
      <c r="EG3022" s="46"/>
      <c r="EH3022" s="46"/>
      <c r="EI3022" s="46"/>
      <c r="EJ3022" s="46"/>
      <c r="EK3022" s="46"/>
      <c r="EL3022" s="46"/>
      <c r="EM3022" s="46"/>
      <c r="EN3022" s="46"/>
      <c r="EO3022" s="46"/>
      <c r="EP3022" s="46"/>
      <c r="EQ3022" s="46"/>
      <c r="ER3022" s="46"/>
      <c r="ES3022" s="46"/>
      <c r="ET3022" s="46"/>
      <c r="EU3022" s="46"/>
      <c r="EV3022" s="46"/>
      <c r="EW3022" s="46"/>
      <c r="EX3022" s="46"/>
      <c r="EY3022" s="46"/>
      <c r="EZ3022" s="46"/>
      <c r="FA3022" s="46"/>
      <c r="FB3022" s="46"/>
      <c r="FC3022" s="46"/>
      <c r="FD3022" s="46"/>
      <c r="FE3022" s="46"/>
      <c r="FF3022" s="46"/>
      <c r="FG3022" s="46"/>
      <c r="FH3022" s="46"/>
      <c r="FI3022" s="46"/>
      <c r="FJ3022" s="46"/>
      <c r="FK3022" s="46"/>
      <c r="FL3022" s="46"/>
      <c r="FM3022" s="46"/>
      <c r="FN3022" s="46"/>
      <c r="FO3022" s="46"/>
      <c r="FP3022" s="46"/>
      <c r="FQ3022" s="46"/>
      <c r="FR3022" s="46"/>
      <c r="FS3022" s="46"/>
      <c r="FT3022" s="46"/>
      <c r="FU3022" s="46"/>
      <c r="FV3022" s="46"/>
      <c r="FW3022" s="46"/>
      <c r="FX3022" s="46"/>
      <c r="FY3022" s="46"/>
      <c r="FZ3022" s="46"/>
      <c r="GA3022" s="46"/>
      <c r="GB3022" s="46"/>
      <c r="GC3022" s="46"/>
      <c r="GD3022" s="46"/>
      <c r="GE3022" s="46"/>
      <c r="GF3022" s="46"/>
      <c r="GG3022" s="46"/>
      <c r="GH3022" s="46"/>
      <c r="GI3022" s="46"/>
      <c r="GJ3022" s="46"/>
      <c r="GK3022" s="46"/>
      <c r="GL3022" s="46"/>
      <c r="GM3022" s="46"/>
      <c r="GN3022" s="46"/>
      <c r="GO3022" s="46"/>
      <c r="GP3022" s="46"/>
      <c r="GQ3022" s="46"/>
      <c r="GR3022" s="46"/>
      <c r="GS3022" s="46"/>
      <c r="GT3022" s="46"/>
      <c r="GU3022" s="46"/>
    </row>
    <row r="3023" spans="1:203" s="43" customFormat="1" ht="30" hidden="1" customHeight="1" outlineLevel="1" x14ac:dyDescent="0.35">
      <c r="A3023" s="47"/>
      <c r="B3023" s="48" t="s">
        <v>597</v>
      </c>
      <c r="C3023" s="49" t="s">
        <v>58</v>
      </c>
      <c r="D3023" s="49">
        <v>2</v>
      </c>
      <c r="E3023" s="78"/>
      <c r="F3023" s="42"/>
      <c r="H3023" s="44"/>
      <c r="K3023" s="45"/>
      <c r="L3023" s="45"/>
      <c r="M3023" s="45"/>
      <c r="N3023" s="44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6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  <c r="BP3023" s="46"/>
      <c r="BQ3023" s="46"/>
      <c r="BR3023" s="46"/>
      <c r="BS3023" s="46"/>
      <c r="BT3023" s="46"/>
      <c r="BU3023" s="46"/>
      <c r="BV3023" s="46"/>
      <c r="BW3023" s="46"/>
      <c r="BX3023" s="46"/>
      <c r="BY3023" s="46"/>
      <c r="BZ3023" s="46"/>
      <c r="CA3023" s="46"/>
      <c r="CB3023" s="46"/>
      <c r="CC3023" s="46"/>
      <c r="CD3023" s="46"/>
      <c r="CE3023" s="46"/>
      <c r="CF3023" s="46"/>
      <c r="CG3023" s="46"/>
      <c r="CH3023" s="46"/>
      <c r="CI3023" s="46"/>
      <c r="CJ3023" s="46"/>
      <c r="CK3023" s="46"/>
      <c r="CL3023" s="46"/>
      <c r="CM3023" s="46"/>
      <c r="CN3023" s="46"/>
      <c r="CO3023" s="46"/>
      <c r="CP3023" s="46"/>
      <c r="CQ3023" s="46"/>
      <c r="CR3023" s="46"/>
      <c r="CS3023" s="46"/>
      <c r="CT3023" s="46"/>
      <c r="CU3023" s="46"/>
      <c r="CV3023" s="46"/>
      <c r="CW3023" s="46"/>
      <c r="CX3023" s="46"/>
      <c r="CY3023" s="46"/>
      <c r="CZ3023" s="46"/>
      <c r="DA3023" s="46"/>
      <c r="DB3023" s="46"/>
      <c r="DC3023" s="46"/>
      <c r="DD3023" s="46"/>
      <c r="DE3023" s="46"/>
      <c r="DF3023" s="46"/>
      <c r="DG3023" s="46"/>
      <c r="DH3023" s="46"/>
      <c r="DI3023" s="46"/>
      <c r="DJ3023" s="46"/>
      <c r="DK3023" s="46"/>
      <c r="DL3023" s="46"/>
      <c r="DM3023" s="46"/>
      <c r="DN3023" s="46"/>
      <c r="DO3023" s="46"/>
      <c r="DP3023" s="46"/>
      <c r="DQ3023" s="46"/>
      <c r="DR3023" s="46"/>
      <c r="DS3023" s="46"/>
      <c r="DT3023" s="46"/>
      <c r="DU3023" s="46"/>
      <c r="DV3023" s="46"/>
      <c r="DW3023" s="46"/>
      <c r="DX3023" s="46"/>
      <c r="DY3023" s="46"/>
      <c r="DZ3023" s="46"/>
      <c r="EA3023" s="46"/>
      <c r="EB3023" s="46"/>
      <c r="EC3023" s="46"/>
      <c r="ED3023" s="46"/>
      <c r="EE3023" s="46"/>
      <c r="EF3023" s="46"/>
      <c r="EG3023" s="46"/>
      <c r="EH3023" s="46"/>
      <c r="EI3023" s="46"/>
      <c r="EJ3023" s="46"/>
      <c r="EK3023" s="46"/>
      <c r="EL3023" s="46"/>
      <c r="EM3023" s="46"/>
      <c r="EN3023" s="46"/>
      <c r="EO3023" s="46"/>
      <c r="EP3023" s="46"/>
      <c r="EQ3023" s="46"/>
      <c r="ER3023" s="46"/>
      <c r="ES3023" s="46"/>
      <c r="ET3023" s="46"/>
      <c r="EU3023" s="46"/>
      <c r="EV3023" s="46"/>
      <c r="EW3023" s="46"/>
      <c r="EX3023" s="46"/>
      <c r="EY3023" s="46"/>
      <c r="EZ3023" s="46"/>
      <c r="FA3023" s="46"/>
      <c r="FB3023" s="46"/>
      <c r="FC3023" s="46"/>
      <c r="FD3023" s="46"/>
      <c r="FE3023" s="46"/>
      <c r="FF3023" s="46"/>
      <c r="FG3023" s="46"/>
      <c r="FH3023" s="46"/>
      <c r="FI3023" s="46"/>
      <c r="FJ3023" s="46"/>
      <c r="FK3023" s="46"/>
      <c r="FL3023" s="46"/>
      <c r="FM3023" s="46"/>
      <c r="FN3023" s="46"/>
      <c r="FO3023" s="46"/>
      <c r="FP3023" s="46"/>
      <c r="FQ3023" s="46"/>
      <c r="FR3023" s="46"/>
      <c r="FS3023" s="46"/>
      <c r="FT3023" s="46"/>
      <c r="FU3023" s="46"/>
      <c r="FV3023" s="46"/>
      <c r="FW3023" s="46"/>
      <c r="FX3023" s="46"/>
      <c r="FY3023" s="46"/>
      <c r="FZ3023" s="46"/>
      <c r="GA3023" s="46"/>
      <c r="GB3023" s="46"/>
      <c r="GC3023" s="46"/>
      <c r="GD3023" s="46"/>
      <c r="GE3023" s="46"/>
      <c r="GF3023" s="46"/>
      <c r="GG3023" s="46"/>
      <c r="GH3023" s="46"/>
      <c r="GI3023" s="46"/>
      <c r="GJ3023" s="46"/>
      <c r="GK3023" s="46"/>
      <c r="GL3023" s="46"/>
      <c r="GM3023" s="46"/>
      <c r="GN3023" s="46"/>
      <c r="GO3023" s="46"/>
      <c r="GP3023" s="46"/>
      <c r="GQ3023" s="46"/>
      <c r="GR3023" s="46"/>
      <c r="GS3023" s="46"/>
      <c r="GT3023" s="46"/>
      <c r="GU3023" s="46"/>
    </row>
    <row r="3024" spans="1:203" s="58" customFormat="1" ht="30" customHeight="1" collapsed="1" x14ac:dyDescent="0.4">
      <c r="A3024" s="24">
        <f>A3021+1</f>
        <v>1278</v>
      </c>
      <c r="B3024" s="71" t="s">
        <v>315</v>
      </c>
      <c r="C3024" s="40" t="s">
        <v>132</v>
      </c>
      <c r="D3024" s="82">
        <v>4</v>
      </c>
      <c r="E3024" s="66"/>
      <c r="F3024" s="57"/>
    </row>
    <row r="3025" spans="1:28" s="58" customFormat="1" ht="30" hidden="1" customHeight="1" outlineLevel="1" x14ac:dyDescent="0.4">
      <c r="A3025" s="87"/>
      <c r="B3025" s="48" t="s">
        <v>314</v>
      </c>
      <c r="C3025" s="75" t="s">
        <v>14</v>
      </c>
      <c r="D3025" s="65">
        <f>4*1.26/1000</f>
        <v>5.0400000000000002E-3</v>
      </c>
      <c r="E3025" s="88">
        <v>5.0000000000000001E-3</v>
      </c>
      <c r="F3025" s="57"/>
    </row>
    <row r="3026" spans="1:28" s="39" customFormat="1" ht="30" customHeight="1" collapsed="1" x14ac:dyDescent="0.35">
      <c r="A3026" s="153" t="s">
        <v>996</v>
      </c>
      <c r="B3026" s="153"/>
      <c r="C3026" s="153"/>
      <c r="D3026" s="153"/>
      <c r="E3026" s="153"/>
      <c r="F3026" s="34"/>
      <c r="G3026" s="35"/>
      <c r="H3026" s="36"/>
      <c r="I3026" s="37"/>
      <c r="J3026" s="37"/>
      <c r="K3026" s="38"/>
      <c r="L3026" s="38"/>
      <c r="M3026" s="38"/>
      <c r="N3026" s="36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</row>
    <row r="3027" spans="1:28" s="39" customFormat="1" ht="21" customHeight="1" x14ac:dyDescent="0.35">
      <c r="A3027" s="158" t="s">
        <v>997</v>
      </c>
      <c r="B3027" s="158"/>
      <c r="C3027" s="158"/>
      <c r="D3027" s="158"/>
      <c r="E3027" s="158"/>
      <c r="F3027" s="34"/>
      <c r="G3027" s="35"/>
      <c r="H3027" s="36"/>
      <c r="I3027" s="37"/>
      <c r="J3027" s="37"/>
      <c r="K3027" s="38"/>
      <c r="L3027" s="38"/>
      <c r="M3027" s="38"/>
      <c r="N3027" s="36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</row>
    <row r="3028" spans="1:28" ht="30" customHeight="1" x14ac:dyDescent="0.35">
      <c r="A3028" s="24">
        <f>A3024+1</f>
        <v>1279</v>
      </c>
      <c r="B3028" s="25" t="s">
        <v>600</v>
      </c>
      <c r="C3028" s="26" t="s">
        <v>29</v>
      </c>
      <c r="D3028" s="67">
        <f>5.7*4.2*0.3</f>
        <v>7.1820000000000004</v>
      </c>
      <c r="E3028" s="41"/>
      <c r="F3028" s="42"/>
    </row>
    <row r="3029" spans="1:28" ht="30" customHeight="1" x14ac:dyDescent="0.35">
      <c r="A3029" s="24">
        <f>A3028+1</f>
        <v>1280</v>
      </c>
      <c r="B3029" s="25" t="s">
        <v>952</v>
      </c>
      <c r="C3029" s="26" t="s">
        <v>29</v>
      </c>
      <c r="D3029" s="67">
        <f>5.7*4.2</f>
        <v>23.94</v>
      </c>
      <c r="E3029" s="41"/>
      <c r="F3029" s="42"/>
    </row>
    <row r="3030" spans="1:28" ht="31" hidden="1" customHeight="1" outlineLevel="1" x14ac:dyDescent="0.35">
      <c r="A3030" s="47"/>
      <c r="B3030" s="48" t="s">
        <v>52</v>
      </c>
      <c r="C3030" s="49" t="s">
        <v>19</v>
      </c>
      <c r="D3030" s="50">
        <f>5.1*D3029/100</f>
        <v>1.2209399999999999</v>
      </c>
      <c r="E3030" s="51"/>
      <c r="F3030" s="42"/>
    </row>
    <row r="3031" spans="1:28" ht="30" customHeight="1" collapsed="1" x14ac:dyDescent="0.35">
      <c r="A3031" s="24">
        <f>A3029+1</f>
        <v>1281</v>
      </c>
      <c r="B3031" s="25" t="s">
        <v>51</v>
      </c>
      <c r="C3031" s="26" t="s">
        <v>19</v>
      </c>
      <c r="D3031" s="40">
        <v>3.53</v>
      </c>
      <c r="E3031" s="41"/>
      <c r="F3031" s="42"/>
    </row>
    <row r="3032" spans="1:28" ht="31" hidden="1" customHeight="1" outlineLevel="1" x14ac:dyDescent="0.35">
      <c r="A3032" s="47"/>
      <c r="B3032" s="48" t="s">
        <v>52</v>
      </c>
      <c r="C3032" s="49" t="s">
        <v>19</v>
      </c>
      <c r="D3032" s="50">
        <f>D3031</f>
        <v>3.53</v>
      </c>
      <c r="E3032" s="51"/>
      <c r="F3032" s="42"/>
    </row>
    <row r="3033" spans="1:28" s="58" customFormat="1" ht="30" customHeight="1" collapsed="1" x14ac:dyDescent="0.4">
      <c r="A3033" s="24">
        <f>A3031+1</f>
        <v>1282</v>
      </c>
      <c r="B3033" s="59" t="s">
        <v>894</v>
      </c>
      <c r="C3033" s="70" t="s">
        <v>19</v>
      </c>
      <c r="D3033" s="40">
        <v>0.59</v>
      </c>
      <c r="E3033" s="66"/>
      <c r="F3033" s="57"/>
    </row>
    <row r="3034" spans="1:28" s="58" customFormat="1" ht="30" hidden="1" customHeight="1" outlineLevel="1" x14ac:dyDescent="0.4">
      <c r="A3034" s="54"/>
      <c r="B3034" s="48" t="s">
        <v>740</v>
      </c>
      <c r="C3034" s="49" t="s">
        <v>19</v>
      </c>
      <c r="D3034" s="50">
        <f>0.59*1.1</f>
        <v>0.64900000000000002</v>
      </c>
      <c r="E3034" s="51"/>
      <c r="F3034" s="57"/>
    </row>
    <row r="3035" spans="1:28" ht="33" customHeight="1" collapsed="1" x14ac:dyDescent="0.35">
      <c r="A3035" s="24">
        <f>A3033+1</f>
        <v>1283</v>
      </c>
      <c r="B3035" s="25" t="s">
        <v>998</v>
      </c>
      <c r="C3035" s="26" t="s">
        <v>55</v>
      </c>
      <c r="D3035" s="40" t="s">
        <v>999</v>
      </c>
      <c r="E3035" s="41"/>
      <c r="F3035" s="53"/>
    </row>
    <row r="3036" spans="1:28" s="58" customFormat="1" ht="30" hidden="1" customHeight="1" outlineLevel="1" x14ac:dyDescent="0.4">
      <c r="A3036" s="54"/>
      <c r="B3036" s="48" t="s">
        <v>398</v>
      </c>
      <c r="C3036" s="49" t="s">
        <v>58</v>
      </c>
      <c r="D3036" s="55">
        <v>2</v>
      </c>
      <c r="E3036" s="56">
        <v>4.4000000000000004</v>
      </c>
      <c r="F3036" s="57"/>
    </row>
    <row r="3037" spans="1:28" s="39" customFormat="1" ht="21" customHeight="1" collapsed="1" x14ac:dyDescent="0.35">
      <c r="A3037" s="154" t="s">
        <v>1000</v>
      </c>
      <c r="B3037" s="154"/>
      <c r="C3037" s="154"/>
      <c r="D3037" s="154"/>
      <c r="E3037" s="154"/>
      <c r="F3037" s="34"/>
      <c r="G3037" s="35"/>
      <c r="H3037" s="36"/>
      <c r="I3037" s="37"/>
      <c r="J3037" s="37"/>
      <c r="K3037" s="38"/>
      <c r="L3037" s="38"/>
      <c r="M3037" s="38"/>
      <c r="N3037" s="36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</row>
    <row r="3038" spans="1:28" s="39" customFormat="1" ht="36" customHeight="1" x14ac:dyDescent="0.35">
      <c r="A3038" s="24">
        <f>A3035+1</f>
        <v>1284</v>
      </c>
      <c r="B3038" s="25" t="s">
        <v>119</v>
      </c>
      <c r="C3038" s="26" t="s">
        <v>67</v>
      </c>
      <c r="D3038" s="40" t="s">
        <v>1001</v>
      </c>
      <c r="E3038" s="64"/>
      <c r="F3038" s="34"/>
      <c r="G3038" s="35"/>
      <c r="H3038" s="36"/>
      <c r="I3038" s="37"/>
      <c r="J3038" s="37"/>
      <c r="K3038" s="38"/>
      <c r="L3038" s="38"/>
      <c r="M3038" s="38"/>
      <c r="N3038" s="36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</row>
    <row r="3039" spans="1:28" s="58" customFormat="1" ht="30" hidden="1" customHeight="1" outlineLevel="1" x14ac:dyDescent="0.4">
      <c r="A3039" s="54"/>
      <c r="B3039" s="48" t="s">
        <v>471</v>
      </c>
      <c r="C3039" s="49" t="s">
        <v>14</v>
      </c>
      <c r="D3039" s="65">
        <f>3.24*10.36/1000</f>
        <v>3.3566400000000003E-2</v>
      </c>
      <c r="E3039" s="51"/>
      <c r="F3039" s="57"/>
    </row>
    <row r="3040" spans="1:28" s="58" customFormat="1" ht="30" hidden="1" customHeight="1" outlineLevel="1" x14ac:dyDescent="0.4">
      <c r="A3040" s="54"/>
      <c r="B3040" s="48" t="s">
        <v>117</v>
      </c>
      <c r="C3040" s="49" t="s">
        <v>14</v>
      </c>
      <c r="D3040" s="65">
        <f>0.54*78.5/1000</f>
        <v>4.2389999999999997E-2</v>
      </c>
      <c r="E3040" s="51"/>
      <c r="F3040" s="57"/>
    </row>
    <row r="3041" spans="1:28" ht="36" customHeight="1" collapsed="1" x14ac:dyDescent="0.35">
      <c r="A3041" s="24">
        <f>A3038+1</f>
        <v>1285</v>
      </c>
      <c r="B3041" s="59" t="s">
        <v>72</v>
      </c>
      <c r="C3041" s="26" t="s">
        <v>29</v>
      </c>
      <c r="D3041" s="67">
        <f>((0.089*3.14*3.24)+(0.2*0.2*2*4)+(0.25*0.25*2*4))</f>
        <v>1.7254504000000002</v>
      </c>
      <c r="E3041" s="41"/>
      <c r="F3041" s="42"/>
    </row>
    <row r="3042" spans="1:28" s="58" customFormat="1" ht="30" hidden="1" customHeight="1" outlineLevel="1" x14ac:dyDescent="0.4">
      <c r="A3042" s="54"/>
      <c r="B3042" s="48" t="s">
        <v>73</v>
      </c>
      <c r="C3042" s="49" t="s">
        <v>74</v>
      </c>
      <c r="D3042" s="68">
        <f>3.31*D3041</f>
        <v>5.7112408240000008</v>
      </c>
      <c r="E3042" s="69">
        <v>6.0000000000000001E-3</v>
      </c>
      <c r="F3042" s="57"/>
    </row>
    <row r="3043" spans="1:28" ht="36" customHeight="1" collapsed="1" x14ac:dyDescent="0.35">
      <c r="A3043" s="24">
        <f>A3041+1</f>
        <v>1286</v>
      </c>
      <c r="B3043" s="59" t="s">
        <v>75</v>
      </c>
      <c r="C3043" s="26" t="s">
        <v>29</v>
      </c>
      <c r="D3043" s="67">
        <f>((0.089*3.14*3.24)+(0.2*0.2*2*4)+(0.25*0.25*2*4))</f>
        <v>1.7254504000000002</v>
      </c>
      <c r="E3043" s="41"/>
      <c r="F3043" s="42"/>
    </row>
    <row r="3044" spans="1:28" ht="36" customHeight="1" x14ac:dyDescent="0.35">
      <c r="A3044" s="24">
        <f>A3043+1</f>
        <v>1287</v>
      </c>
      <c r="B3044" s="59" t="s">
        <v>76</v>
      </c>
      <c r="C3044" s="26" t="s">
        <v>29</v>
      </c>
      <c r="D3044" s="67">
        <f>((0.089*3.14*3.24)+(0.2*0.2*2*4)+(0.25*0.25*2*4))</f>
        <v>1.7254504000000002</v>
      </c>
      <c r="E3044" s="41"/>
      <c r="F3044" s="42"/>
    </row>
    <row r="3045" spans="1:28" s="58" customFormat="1" ht="30" customHeight="1" x14ac:dyDescent="0.4">
      <c r="A3045" s="24">
        <f>A3044+1</f>
        <v>1288</v>
      </c>
      <c r="B3045" s="59" t="s">
        <v>77</v>
      </c>
      <c r="C3045" s="70" t="s">
        <v>29</v>
      </c>
      <c r="D3045" s="67">
        <f>((0.089*3.14*3.24)+(0.2*0.2*2*4)+(0.25*0.25*2*4))</f>
        <v>1.7254504000000002</v>
      </c>
      <c r="E3045" s="66"/>
      <c r="F3045" s="57"/>
    </row>
    <row r="3046" spans="1:28" s="58" customFormat="1" ht="30" hidden="1" customHeight="1" outlineLevel="1" x14ac:dyDescent="0.4">
      <c r="A3046" s="54"/>
      <c r="B3046" s="48" t="s">
        <v>78</v>
      </c>
      <c r="C3046" s="49" t="s">
        <v>74</v>
      </c>
      <c r="D3046" s="68">
        <f>D3045*0.255</f>
        <v>0.43998985200000007</v>
      </c>
      <c r="E3046" s="69">
        <v>1E-3</v>
      </c>
      <c r="F3046" s="57"/>
    </row>
    <row r="3047" spans="1:28" s="58" customFormat="1" ht="30" customHeight="1" collapsed="1" x14ac:dyDescent="0.4">
      <c r="A3047" s="24">
        <f>A3045+1</f>
        <v>1289</v>
      </c>
      <c r="B3047" s="59" t="s">
        <v>79</v>
      </c>
      <c r="C3047" s="70" t="s">
        <v>29</v>
      </c>
      <c r="D3047" s="67">
        <f>((0.089*3.14*3.24)+(0.2*0.2*2*4)+(0.25*0.25*2*4))</f>
        <v>1.7254504000000002</v>
      </c>
      <c r="E3047" s="66"/>
      <c r="F3047" s="57"/>
    </row>
    <row r="3048" spans="1:28" s="58" customFormat="1" ht="30" hidden="1" customHeight="1" outlineLevel="1" x14ac:dyDescent="0.4">
      <c r="A3048" s="54"/>
      <c r="B3048" s="48" t="s">
        <v>80</v>
      </c>
      <c r="C3048" s="49" t="s">
        <v>74</v>
      </c>
      <c r="D3048" s="68">
        <f>D3047*0.36*2</f>
        <v>1.2423242880000001</v>
      </c>
      <c r="E3048" s="69">
        <v>1E-3</v>
      </c>
      <c r="F3048" s="57"/>
    </row>
    <row r="3049" spans="1:28" s="39" customFormat="1" ht="21" customHeight="1" collapsed="1" x14ac:dyDescent="0.35">
      <c r="A3049" s="158" t="s">
        <v>1002</v>
      </c>
      <c r="B3049" s="158"/>
      <c r="C3049" s="158"/>
      <c r="D3049" s="158"/>
      <c r="E3049" s="158"/>
      <c r="F3049" s="34"/>
      <c r="G3049" s="35"/>
      <c r="H3049" s="36"/>
      <c r="I3049" s="37"/>
      <c r="J3049" s="37"/>
      <c r="K3049" s="38"/>
      <c r="L3049" s="38"/>
      <c r="M3049" s="38"/>
      <c r="N3049" s="36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</row>
    <row r="3050" spans="1:28" s="33" customFormat="1" ht="31" customHeight="1" x14ac:dyDescent="0.35">
      <c r="A3050" s="24">
        <f>A3047+1</f>
        <v>1290</v>
      </c>
      <c r="B3050" s="25" t="s">
        <v>1003</v>
      </c>
      <c r="C3050" s="26" t="s">
        <v>58</v>
      </c>
      <c r="D3050" s="73">
        <v>1</v>
      </c>
      <c r="E3050" s="28"/>
      <c r="F3050" s="29"/>
      <c r="G3050" s="30"/>
      <c r="H3050" s="31"/>
      <c r="I3050" s="30"/>
      <c r="J3050" s="30"/>
      <c r="K3050" s="32"/>
      <c r="L3050" s="32"/>
      <c r="M3050" s="32"/>
      <c r="N3050" s="31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</row>
    <row r="3051" spans="1:28" ht="34.5" hidden="1" customHeight="1" outlineLevel="1" x14ac:dyDescent="0.35">
      <c r="A3051" s="47"/>
      <c r="B3051" s="48" t="s">
        <v>1004</v>
      </c>
      <c r="C3051" s="75" t="s">
        <v>58</v>
      </c>
      <c r="D3051" s="75">
        <v>1</v>
      </c>
      <c r="E3051" s="78"/>
      <c r="F3051" s="42"/>
    </row>
    <row r="3052" spans="1:28" s="33" customFormat="1" ht="30.9" collapsed="1" x14ac:dyDescent="0.35">
      <c r="A3052" s="24">
        <f>A3050+1</f>
        <v>1291</v>
      </c>
      <c r="B3052" s="71" t="s">
        <v>517</v>
      </c>
      <c r="C3052" s="40" t="s">
        <v>132</v>
      </c>
      <c r="D3052" s="108">
        <v>0.8</v>
      </c>
      <c r="E3052" s="28"/>
      <c r="F3052" s="29"/>
      <c r="G3052" s="30"/>
      <c r="H3052" s="31"/>
      <c r="I3052" s="30"/>
      <c r="J3052" s="30"/>
      <c r="K3052" s="32"/>
      <c r="L3052" s="32"/>
      <c r="M3052" s="32"/>
      <c r="N3052" s="31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</row>
    <row r="3053" spans="1:28" s="39" customFormat="1" ht="36" hidden="1" customHeight="1" outlineLevel="1" x14ac:dyDescent="0.35">
      <c r="A3053" s="74"/>
      <c r="B3053" s="48" t="s">
        <v>518</v>
      </c>
      <c r="C3053" s="49" t="s">
        <v>14</v>
      </c>
      <c r="D3053" s="65">
        <f>0.8*2.76/1000*1.1</f>
        <v>2.4288000000000001E-3</v>
      </c>
      <c r="E3053" s="76"/>
      <c r="F3053" s="34"/>
      <c r="G3053" s="35"/>
      <c r="H3053" s="36"/>
      <c r="I3053" s="37"/>
      <c r="J3053" s="37"/>
      <c r="K3053" s="38"/>
      <c r="L3053" s="38"/>
      <c r="M3053" s="38"/>
      <c r="N3053" s="36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</row>
    <row r="3054" spans="1:28" s="33" customFormat="1" ht="30.9" collapsed="1" x14ac:dyDescent="0.35">
      <c r="A3054" s="24">
        <f>A3052+1</f>
        <v>1292</v>
      </c>
      <c r="B3054" s="71" t="s">
        <v>523</v>
      </c>
      <c r="C3054" s="40" t="s">
        <v>132</v>
      </c>
      <c r="D3054" s="108">
        <v>3.5</v>
      </c>
      <c r="E3054" s="79" t="s">
        <v>151</v>
      </c>
      <c r="F3054" s="29"/>
      <c r="G3054" s="30"/>
      <c r="H3054" s="31"/>
      <c r="I3054" s="30"/>
      <c r="J3054" s="30"/>
      <c r="K3054" s="32"/>
      <c r="L3054" s="32"/>
      <c r="M3054" s="32"/>
      <c r="N3054" s="31"/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</row>
    <row r="3055" spans="1:28" s="39" customFormat="1" ht="36" hidden="1" customHeight="1" outlineLevel="1" x14ac:dyDescent="0.35">
      <c r="A3055" s="74"/>
      <c r="B3055" s="48" t="s">
        <v>524</v>
      </c>
      <c r="C3055" s="49" t="s">
        <v>14</v>
      </c>
      <c r="D3055" s="65">
        <f>3.5*5.23/1000*1.1</f>
        <v>2.0135500000000001E-2</v>
      </c>
      <c r="E3055" s="76"/>
      <c r="F3055" s="34"/>
      <c r="G3055" s="35"/>
      <c r="H3055" s="36"/>
      <c r="I3055" s="37"/>
      <c r="J3055" s="37"/>
      <c r="K3055" s="38"/>
      <c r="L3055" s="38"/>
      <c r="M3055" s="38"/>
      <c r="N3055" s="36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</row>
    <row r="3056" spans="1:28" s="58" customFormat="1" ht="30" hidden="1" customHeight="1" outlineLevel="1" x14ac:dyDescent="0.4">
      <c r="A3056" s="54"/>
      <c r="B3056" s="48" t="s">
        <v>525</v>
      </c>
      <c r="C3056" s="49" t="s">
        <v>58</v>
      </c>
      <c r="D3056" s="55">
        <v>2</v>
      </c>
      <c r="E3056" s="51">
        <v>1E-3</v>
      </c>
      <c r="F3056" s="57"/>
    </row>
    <row r="3057" spans="1:203" s="39" customFormat="1" ht="36" hidden="1" customHeight="1" outlineLevel="1" x14ac:dyDescent="0.35">
      <c r="A3057" s="74"/>
      <c r="B3057" s="48" t="s">
        <v>1005</v>
      </c>
      <c r="C3057" s="49" t="s">
        <v>58</v>
      </c>
      <c r="D3057" s="49">
        <v>1</v>
      </c>
      <c r="E3057" s="78">
        <v>1E-3</v>
      </c>
      <c r="F3057" s="34"/>
      <c r="G3057" s="35"/>
      <c r="H3057" s="36"/>
      <c r="I3057" s="37"/>
      <c r="J3057" s="37"/>
      <c r="K3057" s="38"/>
      <c r="L3057" s="38"/>
      <c r="M3057" s="38"/>
      <c r="N3057" s="36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</row>
    <row r="3058" spans="1:203" s="58" customFormat="1" ht="30" customHeight="1" collapsed="1" x14ac:dyDescent="0.4">
      <c r="A3058" s="24">
        <f>A3054+1</f>
        <v>1293</v>
      </c>
      <c r="B3058" s="59" t="s">
        <v>158</v>
      </c>
      <c r="C3058" s="70" t="s">
        <v>67</v>
      </c>
      <c r="D3058" s="40" t="s">
        <v>879</v>
      </c>
      <c r="E3058" s="66"/>
      <c r="F3058" s="57"/>
    </row>
    <row r="3059" spans="1:203" s="58" customFormat="1" ht="30" hidden="1" customHeight="1" outlineLevel="1" x14ac:dyDescent="0.4">
      <c r="A3059" s="54"/>
      <c r="B3059" s="48" t="s">
        <v>210</v>
      </c>
      <c r="C3059" s="49" t="s">
        <v>58</v>
      </c>
      <c r="D3059" s="55">
        <v>2</v>
      </c>
      <c r="E3059" s="51">
        <v>4.0000000000000001E-3</v>
      </c>
      <c r="F3059" s="57"/>
    </row>
    <row r="3060" spans="1:203" s="45" customFormat="1" ht="36" customHeight="1" collapsed="1" x14ac:dyDescent="0.35">
      <c r="A3060" s="24">
        <f>A3058+1</f>
        <v>1294</v>
      </c>
      <c r="B3060" s="59" t="s">
        <v>72</v>
      </c>
      <c r="C3060" s="26" t="s">
        <v>29</v>
      </c>
      <c r="D3060" s="104">
        <f>((0.032*3.14*0.8)+(0.057*3.14*3.5))</f>
        <v>0.70681400000000005</v>
      </c>
      <c r="E3060" s="41"/>
      <c r="F3060" s="42"/>
      <c r="G3060" s="43"/>
      <c r="H3060" s="44"/>
      <c r="I3060" s="43"/>
      <c r="J3060" s="43"/>
      <c r="N3060" s="44"/>
      <c r="AC3060" s="46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  <c r="BP3060" s="46"/>
      <c r="BQ3060" s="46"/>
      <c r="BR3060" s="46"/>
      <c r="BS3060" s="46"/>
      <c r="BT3060" s="46"/>
      <c r="BU3060" s="46"/>
      <c r="BV3060" s="46"/>
      <c r="BW3060" s="46"/>
      <c r="BX3060" s="46"/>
      <c r="BY3060" s="46"/>
      <c r="BZ3060" s="46"/>
      <c r="CA3060" s="46"/>
      <c r="CB3060" s="46"/>
      <c r="CC3060" s="46"/>
      <c r="CD3060" s="46"/>
      <c r="CE3060" s="46"/>
      <c r="CF3060" s="46"/>
      <c r="CG3060" s="46"/>
      <c r="CH3060" s="46"/>
      <c r="CI3060" s="46"/>
      <c r="CJ3060" s="46"/>
      <c r="CK3060" s="46"/>
      <c r="CL3060" s="46"/>
      <c r="CM3060" s="46"/>
      <c r="CN3060" s="46"/>
      <c r="CO3060" s="46"/>
      <c r="CP3060" s="46"/>
      <c r="CQ3060" s="46"/>
      <c r="CR3060" s="46"/>
      <c r="CS3060" s="46"/>
      <c r="CT3060" s="46"/>
      <c r="CU3060" s="46"/>
      <c r="CV3060" s="46"/>
      <c r="CW3060" s="46"/>
      <c r="CX3060" s="46"/>
      <c r="CY3060" s="46"/>
      <c r="CZ3060" s="46"/>
      <c r="DA3060" s="46"/>
      <c r="DB3060" s="46"/>
      <c r="DC3060" s="46"/>
      <c r="DD3060" s="46"/>
      <c r="DE3060" s="46"/>
      <c r="DF3060" s="46"/>
      <c r="DG3060" s="46"/>
      <c r="DH3060" s="46"/>
      <c r="DI3060" s="46"/>
      <c r="DJ3060" s="46"/>
      <c r="DK3060" s="46"/>
      <c r="DL3060" s="46"/>
      <c r="DM3060" s="46"/>
      <c r="DN3060" s="46"/>
      <c r="DO3060" s="46"/>
      <c r="DP3060" s="46"/>
      <c r="DQ3060" s="46"/>
      <c r="DR3060" s="46"/>
      <c r="DS3060" s="46"/>
      <c r="DT3060" s="46"/>
      <c r="DU3060" s="46"/>
      <c r="DV3060" s="46"/>
      <c r="DW3060" s="46"/>
      <c r="DX3060" s="46"/>
      <c r="DY3060" s="46"/>
      <c r="DZ3060" s="46"/>
      <c r="EA3060" s="46"/>
      <c r="EB3060" s="46"/>
      <c r="EC3060" s="46"/>
      <c r="ED3060" s="46"/>
      <c r="EE3060" s="46"/>
      <c r="EF3060" s="46"/>
      <c r="EG3060" s="46"/>
      <c r="EH3060" s="46"/>
      <c r="EI3060" s="46"/>
      <c r="EJ3060" s="46"/>
      <c r="EK3060" s="46"/>
      <c r="EL3060" s="46"/>
      <c r="EM3060" s="46"/>
      <c r="EN3060" s="46"/>
      <c r="EO3060" s="46"/>
      <c r="EP3060" s="46"/>
      <c r="EQ3060" s="46"/>
      <c r="ER3060" s="46"/>
      <c r="ES3060" s="46"/>
      <c r="ET3060" s="46"/>
      <c r="EU3060" s="46"/>
      <c r="EV3060" s="46"/>
      <c r="EW3060" s="46"/>
      <c r="EX3060" s="46"/>
      <c r="EY3060" s="46"/>
      <c r="EZ3060" s="46"/>
      <c r="FA3060" s="46"/>
      <c r="FB3060" s="46"/>
      <c r="FC3060" s="46"/>
      <c r="FD3060" s="46"/>
      <c r="FE3060" s="46"/>
      <c r="FF3060" s="46"/>
      <c r="FG3060" s="46"/>
      <c r="FH3060" s="46"/>
      <c r="FI3060" s="46"/>
      <c r="FJ3060" s="46"/>
      <c r="FK3060" s="46"/>
      <c r="FL3060" s="46"/>
      <c r="FM3060" s="46"/>
      <c r="FN3060" s="46"/>
      <c r="FO3060" s="46"/>
      <c r="FP3060" s="46"/>
      <c r="FQ3060" s="46"/>
      <c r="FR3060" s="46"/>
      <c r="FS3060" s="46"/>
      <c r="FT3060" s="46"/>
      <c r="FU3060" s="46"/>
      <c r="FV3060" s="46"/>
      <c r="FW3060" s="46"/>
      <c r="FX3060" s="46"/>
      <c r="FY3060" s="46"/>
      <c r="FZ3060" s="46"/>
      <c r="GA3060" s="46"/>
      <c r="GB3060" s="46"/>
      <c r="GC3060" s="46"/>
      <c r="GD3060" s="46"/>
      <c r="GE3060" s="46"/>
      <c r="GF3060" s="46"/>
      <c r="GG3060" s="46"/>
      <c r="GH3060" s="46"/>
      <c r="GI3060" s="46"/>
      <c r="GJ3060" s="46"/>
      <c r="GK3060" s="46"/>
      <c r="GL3060" s="46"/>
      <c r="GM3060" s="46"/>
      <c r="GN3060" s="46"/>
      <c r="GO3060" s="46"/>
      <c r="GP3060" s="46"/>
      <c r="GQ3060" s="46"/>
      <c r="GR3060" s="46"/>
      <c r="GS3060" s="46"/>
      <c r="GT3060" s="46"/>
      <c r="GU3060" s="46"/>
    </row>
    <row r="3061" spans="1:203" s="58" customFormat="1" ht="30" hidden="1" customHeight="1" outlineLevel="1" x14ac:dyDescent="0.4">
      <c r="A3061" s="54"/>
      <c r="B3061" s="48" t="s">
        <v>73</v>
      </c>
      <c r="C3061" s="49" t="s">
        <v>74</v>
      </c>
      <c r="D3061" s="68">
        <f>3.31*D3060</f>
        <v>2.3395543400000003</v>
      </c>
      <c r="E3061" s="69">
        <v>2E-3</v>
      </c>
      <c r="F3061" s="57"/>
    </row>
    <row r="3062" spans="1:203" s="45" customFormat="1" ht="36" customHeight="1" collapsed="1" x14ac:dyDescent="0.35">
      <c r="A3062" s="24">
        <f>A3060+1</f>
        <v>1295</v>
      </c>
      <c r="B3062" s="59" t="s">
        <v>75</v>
      </c>
      <c r="C3062" s="26" t="s">
        <v>29</v>
      </c>
      <c r="D3062" s="104">
        <f>((0.032*3.14*0.8)+(0.057*3.14*3.5))</f>
        <v>0.70681400000000005</v>
      </c>
      <c r="E3062" s="41"/>
      <c r="F3062" s="42"/>
      <c r="G3062" s="43"/>
      <c r="H3062" s="44"/>
      <c r="I3062" s="43"/>
      <c r="J3062" s="43"/>
      <c r="N3062" s="44"/>
      <c r="AC3062" s="46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  <c r="BP3062" s="46"/>
      <c r="BQ3062" s="46"/>
      <c r="BR3062" s="46"/>
      <c r="BS3062" s="46"/>
      <c r="BT3062" s="46"/>
      <c r="BU3062" s="46"/>
      <c r="BV3062" s="46"/>
      <c r="BW3062" s="46"/>
      <c r="BX3062" s="46"/>
      <c r="BY3062" s="46"/>
      <c r="BZ3062" s="46"/>
      <c r="CA3062" s="46"/>
      <c r="CB3062" s="46"/>
      <c r="CC3062" s="46"/>
      <c r="CD3062" s="46"/>
      <c r="CE3062" s="46"/>
      <c r="CF3062" s="46"/>
      <c r="CG3062" s="46"/>
      <c r="CH3062" s="46"/>
      <c r="CI3062" s="46"/>
      <c r="CJ3062" s="46"/>
      <c r="CK3062" s="46"/>
      <c r="CL3062" s="46"/>
      <c r="CM3062" s="46"/>
      <c r="CN3062" s="46"/>
      <c r="CO3062" s="46"/>
      <c r="CP3062" s="46"/>
      <c r="CQ3062" s="46"/>
      <c r="CR3062" s="46"/>
      <c r="CS3062" s="46"/>
      <c r="CT3062" s="46"/>
      <c r="CU3062" s="46"/>
      <c r="CV3062" s="46"/>
      <c r="CW3062" s="46"/>
      <c r="CX3062" s="46"/>
      <c r="CY3062" s="46"/>
      <c r="CZ3062" s="46"/>
      <c r="DA3062" s="46"/>
      <c r="DB3062" s="46"/>
      <c r="DC3062" s="46"/>
      <c r="DD3062" s="46"/>
      <c r="DE3062" s="46"/>
      <c r="DF3062" s="46"/>
      <c r="DG3062" s="46"/>
      <c r="DH3062" s="46"/>
      <c r="DI3062" s="46"/>
      <c r="DJ3062" s="46"/>
      <c r="DK3062" s="46"/>
      <c r="DL3062" s="46"/>
      <c r="DM3062" s="46"/>
      <c r="DN3062" s="46"/>
      <c r="DO3062" s="46"/>
      <c r="DP3062" s="46"/>
      <c r="DQ3062" s="46"/>
      <c r="DR3062" s="46"/>
      <c r="DS3062" s="46"/>
      <c r="DT3062" s="46"/>
      <c r="DU3062" s="46"/>
      <c r="DV3062" s="46"/>
      <c r="DW3062" s="46"/>
      <c r="DX3062" s="46"/>
      <c r="DY3062" s="46"/>
      <c r="DZ3062" s="46"/>
      <c r="EA3062" s="46"/>
      <c r="EB3062" s="46"/>
      <c r="EC3062" s="46"/>
      <c r="ED3062" s="46"/>
      <c r="EE3062" s="46"/>
      <c r="EF3062" s="46"/>
      <c r="EG3062" s="46"/>
      <c r="EH3062" s="46"/>
      <c r="EI3062" s="46"/>
      <c r="EJ3062" s="46"/>
      <c r="EK3062" s="46"/>
      <c r="EL3062" s="46"/>
      <c r="EM3062" s="46"/>
      <c r="EN3062" s="46"/>
      <c r="EO3062" s="46"/>
      <c r="EP3062" s="46"/>
      <c r="EQ3062" s="46"/>
      <c r="ER3062" s="46"/>
      <c r="ES3062" s="46"/>
      <c r="ET3062" s="46"/>
      <c r="EU3062" s="46"/>
      <c r="EV3062" s="46"/>
      <c r="EW3062" s="46"/>
      <c r="EX3062" s="46"/>
      <c r="EY3062" s="46"/>
      <c r="EZ3062" s="46"/>
      <c r="FA3062" s="46"/>
      <c r="FB3062" s="46"/>
      <c r="FC3062" s="46"/>
      <c r="FD3062" s="46"/>
      <c r="FE3062" s="46"/>
      <c r="FF3062" s="46"/>
      <c r="FG3062" s="46"/>
      <c r="FH3062" s="46"/>
      <c r="FI3062" s="46"/>
      <c r="FJ3062" s="46"/>
      <c r="FK3062" s="46"/>
      <c r="FL3062" s="46"/>
      <c r="FM3062" s="46"/>
      <c r="FN3062" s="46"/>
      <c r="FO3062" s="46"/>
      <c r="FP3062" s="46"/>
      <c r="FQ3062" s="46"/>
      <c r="FR3062" s="46"/>
      <c r="FS3062" s="46"/>
      <c r="FT3062" s="46"/>
      <c r="FU3062" s="46"/>
      <c r="FV3062" s="46"/>
      <c r="FW3062" s="46"/>
      <c r="FX3062" s="46"/>
      <c r="FY3062" s="46"/>
      <c r="FZ3062" s="46"/>
      <c r="GA3062" s="46"/>
      <c r="GB3062" s="46"/>
      <c r="GC3062" s="46"/>
      <c r="GD3062" s="46"/>
      <c r="GE3062" s="46"/>
      <c r="GF3062" s="46"/>
      <c r="GG3062" s="46"/>
      <c r="GH3062" s="46"/>
      <c r="GI3062" s="46"/>
      <c r="GJ3062" s="46"/>
      <c r="GK3062" s="46"/>
      <c r="GL3062" s="46"/>
      <c r="GM3062" s="46"/>
      <c r="GN3062" s="46"/>
      <c r="GO3062" s="46"/>
      <c r="GP3062" s="46"/>
      <c r="GQ3062" s="46"/>
      <c r="GR3062" s="46"/>
      <c r="GS3062" s="46"/>
      <c r="GT3062" s="46"/>
      <c r="GU3062" s="46"/>
    </row>
    <row r="3063" spans="1:203" s="45" customFormat="1" ht="36" customHeight="1" x14ac:dyDescent="0.35">
      <c r="A3063" s="24">
        <f>A3062+1</f>
        <v>1296</v>
      </c>
      <c r="B3063" s="59" t="s">
        <v>76</v>
      </c>
      <c r="C3063" s="26" t="s">
        <v>29</v>
      </c>
      <c r="D3063" s="104">
        <f>((0.032*3.14*0.8)+(0.057*3.14*3.5))</f>
        <v>0.70681400000000005</v>
      </c>
      <c r="E3063" s="41"/>
      <c r="F3063" s="42"/>
      <c r="G3063" s="43"/>
      <c r="H3063" s="44"/>
      <c r="I3063" s="43"/>
      <c r="J3063" s="43"/>
      <c r="N3063" s="44"/>
      <c r="AC3063" s="46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  <c r="BP3063" s="46"/>
      <c r="BQ3063" s="46"/>
      <c r="BR3063" s="46"/>
      <c r="BS3063" s="46"/>
      <c r="BT3063" s="46"/>
      <c r="BU3063" s="46"/>
      <c r="BV3063" s="46"/>
      <c r="BW3063" s="46"/>
      <c r="BX3063" s="46"/>
      <c r="BY3063" s="46"/>
      <c r="BZ3063" s="46"/>
      <c r="CA3063" s="46"/>
      <c r="CB3063" s="46"/>
      <c r="CC3063" s="46"/>
      <c r="CD3063" s="46"/>
      <c r="CE3063" s="46"/>
      <c r="CF3063" s="46"/>
      <c r="CG3063" s="46"/>
      <c r="CH3063" s="46"/>
      <c r="CI3063" s="46"/>
      <c r="CJ3063" s="46"/>
      <c r="CK3063" s="46"/>
      <c r="CL3063" s="46"/>
      <c r="CM3063" s="46"/>
      <c r="CN3063" s="46"/>
      <c r="CO3063" s="46"/>
      <c r="CP3063" s="46"/>
      <c r="CQ3063" s="46"/>
      <c r="CR3063" s="46"/>
      <c r="CS3063" s="46"/>
      <c r="CT3063" s="46"/>
      <c r="CU3063" s="46"/>
      <c r="CV3063" s="46"/>
      <c r="CW3063" s="46"/>
      <c r="CX3063" s="46"/>
      <c r="CY3063" s="46"/>
      <c r="CZ3063" s="46"/>
      <c r="DA3063" s="46"/>
      <c r="DB3063" s="46"/>
      <c r="DC3063" s="46"/>
      <c r="DD3063" s="46"/>
      <c r="DE3063" s="46"/>
      <c r="DF3063" s="46"/>
      <c r="DG3063" s="46"/>
      <c r="DH3063" s="46"/>
      <c r="DI3063" s="46"/>
      <c r="DJ3063" s="46"/>
      <c r="DK3063" s="46"/>
      <c r="DL3063" s="46"/>
      <c r="DM3063" s="46"/>
      <c r="DN3063" s="46"/>
      <c r="DO3063" s="46"/>
      <c r="DP3063" s="46"/>
      <c r="DQ3063" s="46"/>
      <c r="DR3063" s="46"/>
      <c r="DS3063" s="46"/>
      <c r="DT3063" s="46"/>
      <c r="DU3063" s="46"/>
      <c r="DV3063" s="46"/>
      <c r="DW3063" s="46"/>
      <c r="DX3063" s="46"/>
      <c r="DY3063" s="46"/>
      <c r="DZ3063" s="46"/>
      <c r="EA3063" s="46"/>
      <c r="EB3063" s="46"/>
      <c r="EC3063" s="46"/>
      <c r="ED3063" s="46"/>
      <c r="EE3063" s="46"/>
      <c r="EF3063" s="46"/>
      <c r="EG3063" s="46"/>
      <c r="EH3063" s="46"/>
      <c r="EI3063" s="46"/>
      <c r="EJ3063" s="46"/>
      <c r="EK3063" s="46"/>
      <c r="EL3063" s="46"/>
      <c r="EM3063" s="46"/>
      <c r="EN3063" s="46"/>
      <c r="EO3063" s="46"/>
      <c r="EP3063" s="46"/>
      <c r="EQ3063" s="46"/>
      <c r="ER3063" s="46"/>
      <c r="ES3063" s="46"/>
      <c r="ET3063" s="46"/>
      <c r="EU3063" s="46"/>
      <c r="EV3063" s="46"/>
      <c r="EW3063" s="46"/>
      <c r="EX3063" s="46"/>
      <c r="EY3063" s="46"/>
      <c r="EZ3063" s="46"/>
      <c r="FA3063" s="46"/>
      <c r="FB3063" s="46"/>
      <c r="FC3063" s="46"/>
      <c r="FD3063" s="46"/>
      <c r="FE3063" s="46"/>
      <c r="FF3063" s="46"/>
      <c r="FG3063" s="46"/>
      <c r="FH3063" s="46"/>
      <c r="FI3063" s="46"/>
      <c r="FJ3063" s="46"/>
      <c r="FK3063" s="46"/>
      <c r="FL3063" s="46"/>
      <c r="FM3063" s="46"/>
      <c r="FN3063" s="46"/>
      <c r="FO3063" s="46"/>
      <c r="FP3063" s="46"/>
      <c r="FQ3063" s="46"/>
      <c r="FR3063" s="46"/>
      <c r="FS3063" s="46"/>
      <c r="FT3063" s="46"/>
      <c r="FU3063" s="46"/>
      <c r="FV3063" s="46"/>
      <c r="FW3063" s="46"/>
      <c r="FX3063" s="46"/>
      <c r="FY3063" s="46"/>
      <c r="FZ3063" s="46"/>
      <c r="GA3063" s="46"/>
      <c r="GB3063" s="46"/>
      <c r="GC3063" s="46"/>
      <c r="GD3063" s="46"/>
      <c r="GE3063" s="46"/>
      <c r="GF3063" s="46"/>
      <c r="GG3063" s="46"/>
      <c r="GH3063" s="46"/>
      <c r="GI3063" s="46"/>
      <c r="GJ3063" s="46"/>
      <c r="GK3063" s="46"/>
      <c r="GL3063" s="46"/>
      <c r="GM3063" s="46"/>
      <c r="GN3063" s="46"/>
      <c r="GO3063" s="46"/>
      <c r="GP3063" s="46"/>
      <c r="GQ3063" s="46"/>
      <c r="GR3063" s="46"/>
      <c r="GS3063" s="46"/>
      <c r="GT3063" s="46"/>
      <c r="GU3063" s="46"/>
    </row>
    <row r="3064" spans="1:203" s="58" customFormat="1" ht="30" customHeight="1" x14ac:dyDescent="0.4">
      <c r="A3064" s="24">
        <f>A3063+1</f>
        <v>1297</v>
      </c>
      <c r="B3064" s="59" t="s">
        <v>77</v>
      </c>
      <c r="C3064" s="70" t="s">
        <v>29</v>
      </c>
      <c r="D3064" s="104">
        <f>((0.032*3.14*0.8)+(0.057*3.14*3.5))</f>
        <v>0.70681400000000005</v>
      </c>
      <c r="E3064" s="66"/>
      <c r="F3064" s="57"/>
    </row>
    <row r="3065" spans="1:203" s="58" customFormat="1" ht="30" hidden="1" customHeight="1" outlineLevel="1" x14ac:dyDescent="0.4">
      <c r="A3065" s="54"/>
      <c r="B3065" s="48" t="s">
        <v>78</v>
      </c>
      <c r="C3065" s="49" t="s">
        <v>74</v>
      </c>
      <c r="D3065" s="68">
        <f>D3064*0.255</f>
        <v>0.18023757000000001</v>
      </c>
      <c r="E3065" s="69">
        <v>1E-3</v>
      </c>
      <c r="F3065" s="57"/>
    </row>
    <row r="3066" spans="1:203" s="58" customFormat="1" ht="30" customHeight="1" collapsed="1" x14ac:dyDescent="0.4">
      <c r="A3066" s="24">
        <f>A3064+1</f>
        <v>1298</v>
      </c>
      <c r="B3066" s="59" t="s">
        <v>79</v>
      </c>
      <c r="C3066" s="70" t="s">
        <v>29</v>
      </c>
      <c r="D3066" s="104">
        <f>((0.032*3.14*0.8)+(0.057*3.14*3.5))</f>
        <v>0.70681400000000005</v>
      </c>
      <c r="E3066" s="66"/>
      <c r="F3066" s="57"/>
    </row>
    <row r="3067" spans="1:203" s="58" customFormat="1" ht="30" hidden="1" customHeight="1" outlineLevel="1" x14ac:dyDescent="0.4">
      <c r="A3067" s="54"/>
      <c r="B3067" s="48" t="s">
        <v>80</v>
      </c>
      <c r="C3067" s="49" t="s">
        <v>74</v>
      </c>
      <c r="D3067" s="68">
        <f>D3066*0.36*2</f>
        <v>0.50890608000000004</v>
      </c>
      <c r="E3067" s="69"/>
      <c r="F3067" s="57"/>
    </row>
    <row r="3068" spans="1:203" s="58" customFormat="1" ht="46.3" collapsed="1" x14ac:dyDescent="0.4">
      <c r="A3068" s="24">
        <f>A3066+1</f>
        <v>1299</v>
      </c>
      <c r="B3068" s="59" t="s">
        <v>364</v>
      </c>
      <c r="C3068" s="70" t="s">
        <v>19</v>
      </c>
      <c r="D3068" s="67">
        <v>0.11</v>
      </c>
      <c r="E3068" s="66"/>
      <c r="F3068" s="57"/>
    </row>
    <row r="3069" spans="1:203" s="58" customFormat="1" ht="30.9" hidden="1" outlineLevel="1" x14ac:dyDescent="0.4">
      <c r="A3069" s="54"/>
      <c r="B3069" s="48" t="s">
        <v>365</v>
      </c>
      <c r="C3069" s="49" t="s">
        <v>19</v>
      </c>
      <c r="D3069" s="68">
        <v>0.11</v>
      </c>
      <c r="E3069" s="69">
        <v>1E-3</v>
      </c>
      <c r="F3069" s="57"/>
      <c r="J3069" s="58">
        <v>1.08</v>
      </c>
    </row>
    <row r="3070" spans="1:203" s="58" customFormat="1" ht="30" customHeight="1" collapsed="1" x14ac:dyDescent="0.4">
      <c r="A3070" s="24">
        <f>A3068+1</f>
        <v>1300</v>
      </c>
      <c r="B3070" s="59" t="s">
        <v>366</v>
      </c>
      <c r="C3070" s="70" t="s">
        <v>29</v>
      </c>
      <c r="D3070" s="67">
        <v>2.15</v>
      </c>
      <c r="E3070" s="66"/>
      <c r="F3070" s="57"/>
    </row>
    <row r="3071" spans="1:203" s="58" customFormat="1" ht="30" hidden="1" customHeight="1" outlineLevel="1" x14ac:dyDescent="0.4">
      <c r="A3071" s="54"/>
      <c r="B3071" s="48" t="s">
        <v>367</v>
      </c>
      <c r="C3071" s="49" t="s">
        <v>29</v>
      </c>
      <c r="D3071" s="68">
        <v>2.15</v>
      </c>
      <c r="E3071" s="69"/>
      <c r="F3071" s="57"/>
      <c r="J3071" s="58">
        <v>1.22</v>
      </c>
    </row>
    <row r="3072" spans="1:203" s="45" customFormat="1" ht="30" customHeight="1" collapsed="1" x14ac:dyDescent="0.35">
      <c r="A3072" s="24">
        <f>A3070+1</f>
        <v>1301</v>
      </c>
      <c r="B3072" s="59" t="s">
        <v>560</v>
      </c>
      <c r="C3072" s="70" t="s">
        <v>561</v>
      </c>
      <c r="D3072" s="40">
        <v>1</v>
      </c>
      <c r="E3072" s="66"/>
      <c r="F3072" s="42"/>
      <c r="G3072" s="43"/>
      <c r="H3072" s="44"/>
      <c r="I3072" s="43"/>
      <c r="J3072" s="43"/>
      <c r="N3072" s="44"/>
      <c r="AC3072" s="46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  <c r="BP3072" s="46"/>
      <c r="BQ3072" s="46"/>
      <c r="BR3072" s="46"/>
      <c r="BS3072" s="46"/>
      <c r="BT3072" s="46"/>
      <c r="BU3072" s="46"/>
      <c r="BV3072" s="46"/>
      <c r="BW3072" s="46"/>
      <c r="BX3072" s="46"/>
      <c r="BY3072" s="46"/>
      <c r="BZ3072" s="46"/>
      <c r="CA3072" s="46"/>
      <c r="CB3072" s="46"/>
      <c r="CC3072" s="46"/>
      <c r="CD3072" s="46"/>
      <c r="CE3072" s="46"/>
      <c r="CF3072" s="46"/>
      <c r="CG3072" s="46"/>
      <c r="CH3072" s="46"/>
      <c r="CI3072" s="46"/>
      <c r="CJ3072" s="46"/>
      <c r="CK3072" s="46"/>
      <c r="CL3072" s="46"/>
      <c r="CM3072" s="46"/>
      <c r="CN3072" s="46"/>
      <c r="CO3072" s="46"/>
      <c r="CP3072" s="46"/>
      <c r="CQ3072" s="46"/>
      <c r="CR3072" s="46"/>
      <c r="CS3072" s="46"/>
      <c r="CT3072" s="46"/>
      <c r="CU3072" s="46"/>
      <c r="CV3072" s="46"/>
      <c r="CW3072" s="46"/>
      <c r="CX3072" s="46"/>
      <c r="CY3072" s="46"/>
      <c r="CZ3072" s="46"/>
      <c r="DA3072" s="46"/>
      <c r="DB3072" s="46"/>
      <c r="DC3072" s="46"/>
      <c r="DD3072" s="46"/>
      <c r="DE3072" s="46"/>
      <c r="DF3072" s="46"/>
      <c r="DG3072" s="46"/>
      <c r="DH3072" s="46"/>
      <c r="DI3072" s="46"/>
      <c r="DJ3072" s="46"/>
      <c r="DK3072" s="46"/>
      <c r="DL3072" s="46"/>
      <c r="DM3072" s="46"/>
      <c r="DN3072" s="46"/>
      <c r="DO3072" s="46"/>
      <c r="DP3072" s="46"/>
      <c r="DQ3072" s="46"/>
      <c r="DR3072" s="46"/>
      <c r="DS3072" s="46"/>
      <c r="DT3072" s="46"/>
      <c r="DU3072" s="46"/>
      <c r="DV3072" s="46"/>
      <c r="DW3072" s="46"/>
      <c r="DX3072" s="46"/>
      <c r="DY3072" s="46"/>
      <c r="DZ3072" s="46"/>
      <c r="EA3072" s="46"/>
      <c r="EB3072" s="46"/>
      <c r="EC3072" s="46"/>
      <c r="ED3072" s="46"/>
      <c r="EE3072" s="46"/>
      <c r="EF3072" s="46"/>
      <c r="EG3072" s="46"/>
      <c r="EH3072" s="46"/>
      <c r="EI3072" s="46"/>
      <c r="EJ3072" s="46"/>
      <c r="EK3072" s="46"/>
      <c r="EL3072" s="46"/>
      <c r="EM3072" s="46"/>
      <c r="EN3072" s="46"/>
      <c r="EO3072" s="46"/>
      <c r="EP3072" s="46"/>
      <c r="EQ3072" s="46"/>
      <c r="ER3072" s="46"/>
      <c r="ES3072" s="46"/>
      <c r="ET3072" s="46"/>
      <c r="EU3072" s="46"/>
      <c r="EV3072" s="46"/>
      <c r="EW3072" s="46"/>
      <c r="EX3072" s="46"/>
      <c r="EY3072" s="46"/>
      <c r="EZ3072" s="46"/>
      <c r="FA3072" s="46"/>
      <c r="FB3072" s="46"/>
      <c r="FC3072" s="46"/>
      <c r="FD3072" s="46"/>
      <c r="FE3072" s="46"/>
      <c r="FF3072" s="46"/>
      <c r="FG3072" s="46"/>
      <c r="FH3072" s="46"/>
      <c r="FI3072" s="46"/>
      <c r="FJ3072" s="46"/>
      <c r="FK3072" s="46"/>
      <c r="FL3072" s="46"/>
      <c r="FM3072" s="46"/>
      <c r="FN3072" s="46"/>
      <c r="FO3072" s="46"/>
      <c r="FP3072" s="46"/>
      <c r="FQ3072" s="46"/>
      <c r="FR3072" s="46"/>
      <c r="FS3072" s="46"/>
      <c r="FT3072" s="46"/>
      <c r="FU3072" s="46"/>
      <c r="FV3072" s="46"/>
      <c r="FW3072" s="46"/>
      <c r="FX3072" s="46"/>
      <c r="FY3072" s="46"/>
      <c r="FZ3072" s="46"/>
      <c r="GA3072" s="46"/>
      <c r="GB3072" s="46"/>
      <c r="GC3072" s="46"/>
      <c r="GD3072" s="46"/>
      <c r="GE3072" s="46"/>
      <c r="GF3072" s="46"/>
      <c r="GG3072" s="46"/>
      <c r="GH3072" s="46"/>
      <c r="GI3072" s="46"/>
      <c r="GJ3072" s="46"/>
      <c r="GK3072" s="46"/>
      <c r="GL3072" s="46"/>
      <c r="GM3072" s="46"/>
      <c r="GN3072" s="46"/>
      <c r="GO3072" s="46"/>
      <c r="GP3072" s="46"/>
      <c r="GQ3072" s="46"/>
      <c r="GR3072" s="46"/>
      <c r="GS3072" s="46"/>
      <c r="GT3072" s="46"/>
      <c r="GU3072" s="46"/>
    </row>
    <row r="3073" spans="1:203" s="45" customFormat="1" ht="31" customHeight="1" x14ac:dyDescent="0.35">
      <c r="A3073" s="24">
        <f>A3072+1</f>
        <v>1302</v>
      </c>
      <c r="B3073" s="25" t="s">
        <v>562</v>
      </c>
      <c r="C3073" s="70" t="s">
        <v>561</v>
      </c>
      <c r="D3073" s="26">
        <v>4</v>
      </c>
      <c r="E3073" s="41"/>
      <c r="F3073" s="42"/>
      <c r="G3073" s="43"/>
      <c r="H3073" s="44"/>
      <c r="I3073" s="43"/>
      <c r="J3073" s="43"/>
      <c r="N3073" s="44"/>
      <c r="AC3073" s="46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  <c r="BP3073" s="46"/>
      <c r="BQ3073" s="46"/>
      <c r="BR3073" s="46"/>
      <c r="BS3073" s="46"/>
      <c r="BT3073" s="46"/>
      <c r="BU3073" s="46"/>
      <c r="BV3073" s="46"/>
      <c r="BW3073" s="46"/>
      <c r="BX3073" s="46"/>
      <c r="BY3073" s="46"/>
      <c r="BZ3073" s="46"/>
      <c r="CA3073" s="46"/>
      <c r="CB3073" s="46"/>
      <c r="CC3073" s="46"/>
      <c r="CD3073" s="46"/>
      <c r="CE3073" s="46"/>
      <c r="CF3073" s="46"/>
      <c r="CG3073" s="46"/>
      <c r="CH3073" s="46"/>
      <c r="CI3073" s="46"/>
      <c r="CJ3073" s="46"/>
      <c r="CK3073" s="46"/>
      <c r="CL3073" s="46"/>
      <c r="CM3073" s="46"/>
      <c r="CN3073" s="46"/>
      <c r="CO3073" s="46"/>
      <c r="CP3073" s="46"/>
      <c r="CQ3073" s="46"/>
      <c r="CR3073" s="46"/>
      <c r="CS3073" s="46"/>
      <c r="CT3073" s="46"/>
      <c r="CU3073" s="46"/>
      <c r="CV3073" s="46"/>
      <c r="CW3073" s="46"/>
      <c r="CX3073" s="46"/>
      <c r="CY3073" s="46"/>
      <c r="CZ3073" s="46"/>
      <c r="DA3073" s="46"/>
      <c r="DB3073" s="46"/>
      <c r="DC3073" s="46"/>
      <c r="DD3073" s="46"/>
      <c r="DE3073" s="46"/>
      <c r="DF3073" s="46"/>
      <c r="DG3073" s="46"/>
      <c r="DH3073" s="46"/>
      <c r="DI3073" s="46"/>
      <c r="DJ3073" s="46"/>
      <c r="DK3073" s="46"/>
      <c r="DL3073" s="46"/>
      <c r="DM3073" s="46"/>
      <c r="DN3073" s="46"/>
      <c r="DO3073" s="46"/>
      <c r="DP3073" s="46"/>
      <c r="DQ3073" s="46"/>
      <c r="DR3073" s="46"/>
      <c r="DS3073" s="46"/>
      <c r="DT3073" s="46"/>
      <c r="DU3073" s="46"/>
      <c r="DV3073" s="46"/>
      <c r="DW3073" s="46"/>
      <c r="DX3073" s="46"/>
      <c r="DY3073" s="46"/>
      <c r="DZ3073" s="46"/>
      <c r="EA3073" s="46"/>
      <c r="EB3073" s="46"/>
      <c r="EC3073" s="46"/>
      <c r="ED3073" s="46"/>
      <c r="EE3073" s="46"/>
      <c r="EF3073" s="46"/>
      <c r="EG3073" s="46"/>
      <c r="EH3073" s="46"/>
      <c r="EI3073" s="46"/>
      <c r="EJ3073" s="46"/>
      <c r="EK3073" s="46"/>
      <c r="EL3073" s="46"/>
      <c r="EM3073" s="46"/>
      <c r="EN3073" s="46"/>
      <c r="EO3073" s="46"/>
      <c r="EP3073" s="46"/>
      <c r="EQ3073" s="46"/>
      <c r="ER3073" s="46"/>
      <c r="ES3073" s="46"/>
      <c r="ET3073" s="46"/>
      <c r="EU3073" s="46"/>
      <c r="EV3073" s="46"/>
      <c r="EW3073" s="46"/>
      <c r="EX3073" s="46"/>
      <c r="EY3073" s="46"/>
      <c r="EZ3073" s="46"/>
      <c r="FA3073" s="46"/>
      <c r="FB3073" s="46"/>
      <c r="FC3073" s="46"/>
      <c r="FD3073" s="46"/>
      <c r="FE3073" s="46"/>
      <c r="FF3073" s="46"/>
      <c r="FG3073" s="46"/>
      <c r="FH3073" s="46"/>
      <c r="FI3073" s="46"/>
      <c r="FJ3073" s="46"/>
      <c r="FK3073" s="46"/>
      <c r="FL3073" s="46"/>
      <c r="FM3073" s="46"/>
      <c r="FN3073" s="46"/>
      <c r="FO3073" s="46"/>
      <c r="FP3073" s="46"/>
      <c r="FQ3073" s="46"/>
      <c r="FR3073" s="46"/>
      <c r="FS3073" s="46"/>
      <c r="FT3073" s="46"/>
      <c r="FU3073" s="46"/>
      <c r="FV3073" s="46"/>
      <c r="FW3073" s="46"/>
      <c r="FX3073" s="46"/>
      <c r="FY3073" s="46"/>
      <c r="FZ3073" s="46"/>
      <c r="GA3073" s="46"/>
      <c r="GB3073" s="46"/>
      <c r="GC3073" s="46"/>
      <c r="GD3073" s="46"/>
      <c r="GE3073" s="46"/>
      <c r="GF3073" s="46"/>
      <c r="GG3073" s="46"/>
      <c r="GH3073" s="46"/>
      <c r="GI3073" s="46"/>
      <c r="GJ3073" s="46"/>
      <c r="GK3073" s="46"/>
      <c r="GL3073" s="46"/>
      <c r="GM3073" s="46"/>
      <c r="GN3073" s="46"/>
      <c r="GO3073" s="46"/>
      <c r="GP3073" s="46"/>
      <c r="GQ3073" s="46"/>
      <c r="GR3073" s="46"/>
      <c r="GS3073" s="46"/>
      <c r="GT3073" s="46"/>
      <c r="GU3073" s="46"/>
    </row>
    <row r="3074" spans="1:203" ht="30" customHeight="1" x14ac:dyDescent="0.35">
      <c r="A3074" s="24">
        <f t="shared" ref="A3074:A3077" si="15">A3073+1</f>
        <v>1303</v>
      </c>
      <c r="B3074" s="59" t="s">
        <v>565</v>
      </c>
      <c r="C3074" s="70" t="s">
        <v>561</v>
      </c>
      <c r="D3074" s="40">
        <v>1</v>
      </c>
      <c r="E3074" s="66"/>
      <c r="F3074" s="42"/>
    </row>
    <row r="3075" spans="1:203" ht="31" customHeight="1" x14ac:dyDescent="0.35">
      <c r="A3075" s="24">
        <f t="shared" si="15"/>
        <v>1304</v>
      </c>
      <c r="B3075" s="25" t="s">
        <v>566</v>
      </c>
      <c r="C3075" s="70" t="s">
        <v>561</v>
      </c>
      <c r="D3075" s="26">
        <v>4</v>
      </c>
      <c r="E3075" s="41"/>
      <c r="F3075" s="42"/>
    </row>
    <row r="3076" spans="1:203" ht="31" customHeight="1" x14ac:dyDescent="0.35">
      <c r="A3076" s="24">
        <f t="shared" si="15"/>
        <v>1305</v>
      </c>
      <c r="B3076" s="25" t="s">
        <v>569</v>
      </c>
      <c r="C3076" s="89" t="s">
        <v>570</v>
      </c>
      <c r="D3076" s="26">
        <v>1</v>
      </c>
      <c r="E3076" s="41"/>
      <c r="F3076" s="42"/>
    </row>
    <row r="3077" spans="1:203" ht="31" customHeight="1" x14ac:dyDescent="0.35">
      <c r="A3077" s="24">
        <f t="shared" si="15"/>
        <v>1306</v>
      </c>
      <c r="B3077" s="25" t="s">
        <v>571</v>
      </c>
      <c r="C3077" s="89" t="s">
        <v>570</v>
      </c>
      <c r="D3077" s="26">
        <v>4</v>
      </c>
      <c r="E3077" s="41"/>
      <c r="F3077" s="42"/>
    </row>
    <row r="3078" spans="1:203" s="39" customFormat="1" ht="21" customHeight="1" x14ac:dyDescent="0.35">
      <c r="A3078" s="158" t="s">
        <v>1006</v>
      </c>
      <c r="B3078" s="158"/>
      <c r="C3078" s="158"/>
      <c r="D3078" s="158"/>
      <c r="E3078" s="158"/>
      <c r="F3078" s="34"/>
      <c r="G3078" s="35"/>
      <c r="H3078" s="36"/>
      <c r="I3078" s="37"/>
      <c r="J3078" s="37"/>
      <c r="K3078" s="38"/>
      <c r="L3078" s="38"/>
      <c r="M3078" s="38"/>
      <c r="N3078" s="36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</row>
    <row r="3079" spans="1:203" s="58" customFormat="1" ht="30" customHeight="1" x14ac:dyDescent="0.4">
      <c r="A3079" s="72">
        <f>A3077+1</f>
        <v>1307</v>
      </c>
      <c r="B3079" s="25" t="s">
        <v>308</v>
      </c>
      <c r="C3079" s="89" t="s">
        <v>19</v>
      </c>
      <c r="D3079" s="105">
        <f>0.7*0.5*25</f>
        <v>8.75</v>
      </c>
      <c r="E3079" s="91"/>
      <c r="F3079" s="57"/>
    </row>
    <row r="3080" spans="1:203" s="58" customFormat="1" ht="30" customHeight="1" x14ac:dyDescent="0.4">
      <c r="A3080" s="72">
        <f>A3079+1</f>
        <v>1308</v>
      </c>
      <c r="B3080" s="25" t="s">
        <v>309</v>
      </c>
      <c r="C3080" s="89" t="s">
        <v>19</v>
      </c>
      <c r="D3080" s="105">
        <f>0.7*0.5*25</f>
        <v>8.75</v>
      </c>
      <c r="E3080" s="91"/>
      <c r="F3080" s="57"/>
    </row>
    <row r="3081" spans="1:203" s="58" customFormat="1" ht="30" customHeight="1" x14ac:dyDescent="0.4">
      <c r="A3081" s="24">
        <f>A3080+1</f>
        <v>1309</v>
      </c>
      <c r="B3081" s="25" t="s">
        <v>310</v>
      </c>
      <c r="C3081" s="89" t="s">
        <v>19</v>
      </c>
      <c r="D3081" s="105">
        <f>0.7*0.5*25</f>
        <v>8.75</v>
      </c>
      <c r="E3081" s="91"/>
      <c r="F3081" s="57"/>
    </row>
    <row r="3082" spans="1:203" s="58" customFormat="1" ht="30" customHeight="1" x14ac:dyDescent="0.4">
      <c r="A3082" s="24">
        <f>A3077+1</f>
        <v>1307</v>
      </c>
      <c r="B3082" s="59" t="s">
        <v>403</v>
      </c>
      <c r="C3082" s="70" t="s">
        <v>132</v>
      </c>
      <c r="D3082" s="40">
        <v>25</v>
      </c>
      <c r="E3082" s="66"/>
      <c r="F3082" s="57"/>
    </row>
    <row r="3083" spans="1:203" s="58" customFormat="1" ht="30" hidden="1" customHeight="1" outlineLevel="1" x14ac:dyDescent="0.4">
      <c r="A3083" s="54"/>
      <c r="B3083" s="48" t="s">
        <v>404</v>
      </c>
      <c r="C3083" s="49" t="s">
        <v>14</v>
      </c>
      <c r="D3083" s="65">
        <f>25*1.26/1000</f>
        <v>3.15E-2</v>
      </c>
      <c r="E3083" s="51">
        <v>3.2000000000000001E-2</v>
      </c>
      <c r="F3083" s="57"/>
    </row>
    <row r="3084" spans="1:203" ht="36" customHeight="1" collapsed="1" x14ac:dyDescent="0.35">
      <c r="A3084" s="24">
        <f>A3082+1</f>
        <v>1308</v>
      </c>
      <c r="B3084" s="59" t="s">
        <v>405</v>
      </c>
      <c r="C3084" s="26" t="s">
        <v>58</v>
      </c>
      <c r="D3084" s="82">
        <v>4</v>
      </c>
      <c r="E3084" s="41"/>
      <c r="F3084" s="42"/>
    </row>
    <row r="3085" spans="1:203" s="58" customFormat="1" ht="30" hidden="1" customHeight="1" outlineLevel="1" x14ac:dyDescent="0.4">
      <c r="A3085" s="54"/>
      <c r="B3085" s="48" t="s">
        <v>406</v>
      </c>
      <c r="C3085" s="49" t="s">
        <v>14</v>
      </c>
      <c r="D3085" s="65">
        <f>20*1.58/1000</f>
        <v>3.1600000000000003E-2</v>
      </c>
      <c r="E3085" s="51">
        <v>3.2000000000000001E-2</v>
      </c>
      <c r="F3085" s="57"/>
    </row>
    <row r="3086" spans="1:203" s="58" customFormat="1" ht="30" customHeight="1" collapsed="1" x14ac:dyDescent="0.4">
      <c r="A3086" s="24">
        <f>A3084+1</f>
        <v>1309</v>
      </c>
      <c r="B3086" s="71" t="s">
        <v>315</v>
      </c>
      <c r="C3086" s="40" t="s">
        <v>132</v>
      </c>
      <c r="D3086" s="40">
        <v>15</v>
      </c>
      <c r="E3086" s="66"/>
      <c r="F3086" s="57"/>
    </row>
    <row r="3087" spans="1:203" s="58" customFormat="1" ht="30" hidden="1" customHeight="1" outlineLevel="1" x14ac:dyDescent="0.4">
      <c r="A3087" s="87"/>
      <c r="B3087" s="48" t="s">
        <v>314</v>
      </c>
      <c r="C3087" s="75" t="s">
        <v>14</v>
      </c>
      <c r="D3087" s="65">
        <f>15*1.26/1000</f>
        <v>1.89E-2</v>
      </c>
      <c r="E3087" s="88">
        <v>1.9E-2</v>
      </c>
      <c r="F3087" s="57"/>
    </row>
    <row r="3088" spans="1:203" ht="36" customHeight="1" collapsed="1" x14ac:dyDescent="0.35">
      <c r="A3088" s="24">
        <f>A3086+1</f>
        <v>1310</v>
      </c>
      <c r="B3088" s="59" t="s">
        <v>316</v>
      </c>
      <c r="C3088" s="26" t="s">
        <v>132</v>
      </c>
      <c r="D3088" s="82">
        <v>10</v>
      </c>
      <c r="E3088" s="41"/>
      <c r="F3088" s="42"/>
    </row>
    <row r="3089" spans="1:28" s="58" customFormat="1" ht="30" hidden="1" customHeight="1" outlineLevel="1" x14ac:dyDescent="0.4">
      <c r="A3089" s="54"/>
      <c r="B3089" s="48" t="s">
        <v>407</v>
      </c>
      <c r="C3089" s="49" t="s">
        <v>132</v>
      </c>
      <c r="D3089" s="55">
        <v>10</v>
      </c>
      <c r="E3089" s="51"/>
      <c r="F3089" s="57"/>
    </row>
    <row r="3090" spans="1:28" s="58" customFormat="1" ht="30" hidden="1" customHeight="1" outlineLevel="1" x14ac:dyDescent="0.4">
      <c r="A3090" s="54"/>
      <c r="B3090" s="48" t="s">
        <v>408</v>
      </c>
      <c r="C3090" s="49" t="s">
        <v>58</v>
      </c>
      <c r="D3090" s="55">
        <v>20</v>
      </c>
      <c r="E3090" s="51"/>
      <c r="F3090" s="57"/>
    </row>
    <row r="3091" spans="1:28" s="58" customFormat="1" ht="30" hidden="1" customHeight="1" outlineLevel="1" x14ac:dyDescent="0.4">
      <c r="A3091" s="54"/>
      <c r="B3091" s="48" t="s">
        <v>409</v>
      </c>
      <c r="C3091" s="49" t="s">
        <v>58</v>
      </c>
      <c r="D3091" s="55">
        <v>20</v>
      </c>
      <c r="E3091" s="51"/>
      <c r="F3091" s="57"/>
    </row>
    <row r="3092" spans="1:28" s="58" customFormat="1" ht="30" hidden="1" customHeight="1" outlineLevel="1" x14ac:dyDescent="0.4">
      <c r="A3092" s="54"/>
      <c r="B3092" s="48" t="s">
        <v>410</v>
      </c>
      <c r="C3092" s="49" t="s">
        <v>58</v>
      </c>
      <c r="D3092" s="55">
        <v>20</v>
      </c>
      <c r="E3092" s="51"/>
      <c r="F3092" s="57"/>
    </row>
    <row r="3093" spans="1:28" s="58" customFormat="1" ht="30" hidden="1" customHeight="1" outlineLevel="1" x14ac:dyDescent="0.4">
      <c r="A3093" s="54"/>
      <c r="B3093" s="48" t="s">
        <v>411</v>
      </c>
      <c r="C3093" s="49" t="s">
        <v>58</v>
      </c>
      <c r="D3093" s="55">
        <v>40</v>
      </c>
      <c r="E3093" s="51"/>
      <c r="F3093" s="57"/>
    </row>
    <row r="3094" spans="1:28" s="39" customFormat="1" ht="30" customHeight="1" collapsed="1" x14ac:dyDescent="0.35">
      <c r="A3094" s="153" t="s">
        <v>1007</v>
      </c>
      <c r="B3094" s="153"/>
      <c r="C3094" s="153"/>
      <c r="D3094" s="153"/>
      <c r="E3094" s="153"/>
      <c r="F3094" s="34"/>
      <c r="G3094" s="35"/>
      <c r="H3094" s="36"/>
      <c r="I3094" s="37"/>
      <c r="J3094" s="37"/>
      <c r="K3094" s="38"/>
      <c r="L3094" s="38"/>
      <c r="M3094" s="38"/>
      <c r="N3094" s="36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</row>
    <row r="3095" spans="1:28" s="39" customFormat="1" ht="21" customHeight="1" x14ac:dyDescent="0.35">
      <c r="A3095" s="158" t="s">
        <v>1008</v>
      </c>
      <c r="B3095" s="158"/>
      <c r="C3095" s="158"/>
      <c r="D3095" s="158"/>
      <c r="E3095" s="158"/>
      <c r="F3095" s="34"/>
      <c r="G3095" s="35"/>
      <c r="H3095" s="36"/>
      <c r="I3095" s="37"/>
      <c r="J3095" s="37"/>
      <c r="K3095" s="38"/>
      <c r="L3095" s="38"/>
      <c r="M3095" s="38"/>
      <c r="N3095" s="36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</row>
    <row r="3096" spans="1:28" s="33" customFormat="1" ht="31" customHeight="1" x14ac:dyDescent="0.35">
      <c r="A3096" s="24">
        <f>A3088+1</f>
        <v>1311</v>
      </c>
      <c r="B3096" s="25" t="s">
        <v>1009</v>
      </c>
      <c r="C3096" s="26" t="s">
        <v>19</v>
      </c>
      <c r="D3096" s="26">
        <f>19*18*6</f>
        <v>2052</v>
      </c>
      <c r="E3096" s="28"/>
      <c r="F3096" s="29"/>
      <c r="G3096" s="30"/>
      <c r="H3096" s="31"/>
      <c r="I3096" s="30"/>
      <c r="J3096" s="30"/>
      <c r="K3096" s="32"/>
      <c r="L3096" s="32"/>
      <c r="M3096" s="32"/>
      <c r="N3096" s="31"/>
      <c r="O3096" s="32"/>
      <c r="P3096" s="32"/>
      <c r="Q3096" s="32"/>
      <c r="R3096" s="32"/>
      <c r="S3096" s="32"/>
      <c r="T3096" s="32"/>
      <c r="U3096" s="32"/>
      <c r="V3096" s="32"/>
      <c r="W3096" s="32"/>
      <c r="X3096" s="32"/>
      <c r="Y3096" s="32"/>
      <c r="Z3096" s="32"/>
      <c r="AA3096" s="32"/>
      <c r="AB3096" s="32"/>
    </row>
    <row r="3097" spans="1:28" s="33" customFormat="1" ht="31" customHeight="1" x14ac:dyDescent="0.35">
      <c r="A3097" s="24">
        <f t="shared" ref="A3097:A3101" si="16">A3096+1</f>
        <v>1312</v>
      </c>
      <c r="B3097" s="25" t="s">
        <v>1010</v>
      </c>
      <c r="C3097" s="26" t="s">
        <v>19</v>
      </c>
      <c r="D3097" s="26">
        <f>D3096</f>
        <v>2052</v>
      </c>
      <c r="E3097" s="28"/>
      <c r="F3097" s="29"/>
      <c r="G3097" s="30"/>
      <c r="H3097" s="31"/>
      <c r="I3097" s="30"/>
      <c r="J3097" s="30"/>
      <c r="K3097" s="32"/>
      <c r="L3097" s="32"/>
      <c r="M3097" s="32"/>
      <c r="N3097" s="31"/>
      <c r="O3097" s="32"/>
      <c r="P3097" s="32"/>
      <c r="Q3097" s="32"/>
      <c r="R3097" s="32"/>
      <c r="S3097" s="32"/>
      <c r="T3097" s="32"/>
      <c r="U3097" s="32"/>
      <c r="V3097" s="32"/>
      <c r="W3097" s="32"/>
      <c r="X3097" s="32"/>
      <c r="Y3097" s="32"/>
      <c r="Z3097" s="32"/>
      <c r="AA3097" s="32"/>
      <c r="AB3097" s="32"/>
    </row>
    <row r="3098" spans="1:28" s="33" customFormat="1" ht="31" customHeight="1" x14ac:dyDescent="0.35">
      <c r="A3098" s="24">
        <f t="shared" si="16"/>
        <v>1313</v>
      </c>
      <c r="B3098" s="25" t="s">
        <v>1011</v>
      </c>
      <c r="C3098" s="26" t="s">
        <v>14</v>
      </c>
      <c r="D3098" s="26">
        <f>1.7*D3097</f>
        <v>3488.4</v>
      </c>
      <c r="E3098" s="28"/>
      <c r="F3098" s="29"/>
      <c r="G3098" s="30"/>
      <c r="H3098" s="31"/>
      <c r="I3098" s="30"/>
      <c r="J3098" s="30"/>
      <c r="K3098" s="32"/>
      <c r="L3098" s="32"/>
      <c r="M3098" s="32"/>
      <c r="N3098" s="31"/>
      <c r="O3098" s="32"/>
      <c r="P3098" s="32"/>
      <c r="Q3098" s="32"/>
      <c r="R3098" s="32"/>
      <c r="S3098" s="32"/>
      <c r="T3098" s="32"/>
      <c r="U3098" s="32"/>
      <c r="V3098" s="32"/>
      <c r="W3098" s="32"/>
      <c r="X3098" s="32"/>
      <c r="Y3098" s="32"/>
      <c r="Z3098" s="32"/>
      <c r="AA3098" s="32"/>
      <c r="AB3098" s="32"/>
    </row>
    <row r="3099" spans="1:28" s="33" customFormat="1" ht="31" customHeight="1" x14ac:dyDescent="0.35">
      <c r="A3099" s="24">
        <f t="shared" si="16"/>
        <v>1314</v>
      </c>
      <c r="B3099" s="25" t="s">
        <v>1012</v>
      </c>
      <c r="C3099" s="26" t="s">
        <v>19</v>
      </c>
      <c r="D3099" s="26">
        <f>D3097</f>
        <v>2052</v>
      </c>
      <c r="E3099" s="28"/>
      <c r="F3099" s="29"/>
      <c r="G3099" s="30"/>
      <c r="H3099" s="31"/>
      <c r="I3099" s="30"/>
      <c r="J3099" s="30"/>
      <c r="K3099" s="32"/>
      <c r="L3099" s="32"/>
      <c r="M3099" s="32"/>
      <c r="N3099" s="31"/>
      <c r="O3099" s="32"/>
      <c r="P3099" s="32"/>
      <c r="Q3099" s="32"/>
      <c r="R3099" s="32"/>
      <c r="S3099" s="32"/>
      <c r="T3099" s="32"/>
      <c r="U3099" s="32"/>
      <c r="V3099" s="32"/>
      <c r="W3099" s="32"/>
      <c r="X3099" s="32"/>
      <c r="Y3099" s="32"/>
      <c r="Z3099" s="32"/>
      <c r="AA3099" s="32"/>
      <c r="AB3099" s="32"/>
    </row>
    <row r="3100" spans="1:28" s="33" customFormat="1" ht="31" customHeight="1" x14ac:dyDescent="0.35">
      <c r="A3100" s="24">
        <f t="shared" si="16"/>
        <v>1315</v>
      </c>
      <c r="B3100" s="25" t="s">
        <v>28</v>
      </c>
      <c r="C3100" s="26" t="s">
        <v>29</v>
      </c>
      <c r="D3100" s="26">
        <f>18*19</f>
        <v>342</v>
      </c>
      <c r="E3100" s="28"/>
      <c r="F3100" s="29"/>
      <c r="G3100" s="30"/>
      <c r="H3100" s="31"/>
      <c r="I3100" s="30"/>
      <c r="J3100" s="30"/>
      <c r="K3100" s="32"/>
      <c r="L3100" s="32"/>
      <c r="M3100" s="32"/>
      <c r="N3100" s="31"/>
      <c r="O3100" s="32"/>
      <c r="P3100" s="32"/>
      <c r="Q3100" s="32"/>
      <c r="R3100" s="32"/>
      <c r="S3100" s="32"/>
      <c r="T3100" s="32"/>
      <c r="U3100" s="32"/>
      <c r="V3100" s="32"/>
      <c r="W3100" s="32"/>
      <c r="X3100" s="32"/>
      <c r="Y3100" s="32"/>
      <c r="Z3100" s="32"/>
      <c r="AA3100" s="32"/>
      <c r="AB3100" s="32"/>
    </row>
    <row r="3101" spans="1:28" s="58" customFormat="1" ht="30" customHeight="1" x14ac:dyDescent="0.4">
      <c r="A3101" s="24">
        <f t="shared" si="16"/>
        <v>1316</v>
      </c>
      <c r="B3101" s="59" t="s">
        <v>1013</v>
      </c>
      <c r="C3101" s="70" t="s">
        <v>19</v>
      </c>
      <c r="D3101" s="40">
        <v>240</v>
      </c>
      <c r="E3101" s="66"/>
      <c r="F3101" s="57"/>
    </row>
    <row r="3102" spans="1:28" s="58" customFormat="1" ht="30" hidden="1" customHeight="1" outlineLevel="1" x14ac:dyDescent="0.4">
      <c r="A3102" s="54"/>
      <c r="B3102" s="48" t="s">
        <v>740</v>
      </c>
      <c r="C3102" s="49" t="s">
        <v>19</v>
      </c>
      <c r="D3102" s="50">
        <f>240*1.1</f>
        <v>264</v>
      </c>
      <c r="E3102" s="51"/>
      <c r="F3102" s="57"/>
    </row>
    <row r="3103" spans="1:28" ht="30" customHeight="1" collapsed="1" x14ac:dyDescent="0.35">
      <c r="A3103" s="24">
        <f>A3101+1</f>
        <v>1317</v>
      </c>
      <c r="B3103" s="25" t="s">
        <v>51</v>
      </c>
      <c r="C3103" s="26" t="s">
        <v>19</v>
      </c>
      <c r="D3103" s="40">
        <v>45.5</v>
      </c>
      <c r="E3103" s="41"/>
      <c r="F3103" s="42"/>
    </row>
    <row r="3104" spans="1:28" ht="31" hidden="1" customHeight="1" outlineLevel="1" x14ac:dyDescent="0.35">
      <c r="A3104" s="47"/>
      <c r="B3104" s="48" t="s">
        <v>52</v>
      </c>
      <c r="C3104" s="49" t="s">
        <v>19</v>
      </c>
      <c r="D3104" s="50">
        <f>D3103</f>
        <v>45.5</v>
      </c>
      <c r="E3104" s="51"/>
      <c r="F3104" s="42"/>
    </row>
    <row r="3105" spans="1:28" ht="30" customHeight="1" collapsed="1" x14ac:dyDescent="0.35">
      <c r="A3105" s="24">
        <f>A3103+1</f>
        <v>1318</v>
      </c>
      <c r="B3105" s="25" t="s">
        <v>131</v>
      </c>
      <c r="C3105" s="26" t="s">
        <v>132</v>
      </c>
      <c r="D3105" s="73">
        <v>66</v>
      </c>
      <c r="E3105" s="41"/>
      <c r="F3105" s="42"/>
    </row>
    <row r="3106" spans="1:28" ht="31" hidden="1" customHeight="1" outlineLevel="1" x14ac:dyDescent="0.35">
      <c r="A3106" s="47"/>
      <c r="B3106" s="48" t="s">
        <v>133</v>
      </c>
      <c r="C3106" s="49" t="s">
        <v>58</v>
      </c>
      <c r="D3106" s="55">
        <v>66</v>
      </c>
      <c r="E3106" s="56">
        <v>6.6</v>
      </c>
      <c r="F3106" s="42"/>
    </row>
    <row r="3107" spans="1:28" ht="31" hidden="1" customHeight="1" outlineLevel="1" x14ac:dyDescent="0.35">
      <c r="A3107" s="74"/>
      <c r="B3107" s="48" t="s">
        <v>134</v>
      </c>
      <c r="C3107" s="49" t="s">
        <v>19</v>
      </c>
      <c r="D3107" s="68">
        <f>4.32</f>
        <v>4.32</v>
      </c>
      <c r="E3107" s="69"/>
      <c r="F3107" s="42"/>
    </row>
    <row r="3108" spans="1:28" ht="31" customHeight="1" collapsed="1" x14ac:dyDescent="0.35">
      <c r="A3108" s="24">
        <f>A3105+1</f>
        <v>1319</v>
      </c>
      <c r="B3108" s="25" t="s">
        <v>745</v>
      </c>
      <c r="C3108" s="26" t="s">
        <v>14</v>
      </c>
      <c r="D3108" s="27">
        <v>2.84</v>
      </c>
      <c r="E3108" s="41"/>
      <c r="F3108" s="42"/>
    </row>
    <row r="3109" spans="1:28" ht="31" hidden="1" customHeight="1" outlineLevel="1" x14ac:dyDescent="0.35">
      <c r="A3109" s="47"/>
      <c r="B3109" s="48" t="s">
        <v>185</v>
      </c>
      <c r="C3109" s="49" t="s">
        <v>14</v>
      </c>
      <c r="D3109" s="65">
        <f>(934.46+1709.16)/1000</f>
        <v>2.6436199999999999</v>
      </c>
      <c r="E3109" s="51">
        <f>(934.46+1709.16)/1000</f>
        <v>2.6436199999999999</v>
      </c>
      <c r="F3109" s="42"/>
    </row>
    <row r="3110" spans="1:28" ht="31" hidden="1" customHeight="1" outlineLevel="1" x14ac:dyDescent="0.35">
      <c r="A3110" s="47"/>
      <c r="B3110" s="48" t="s">
        <v>746</v>
      </c>
      <c r="C3110" s="49" t="s">
        <v>14</v>
      </c>
      <c r="D3110" s="65">
        <f>196/1000</f>
        <v>0.19600000000000001</v>
      </c>
      <c r="E3110" s="51">
        <f>196/1000</f>
        <v>0.19600000000000001</v>
      </c>
      <c r="F3110" s="42"/>
    </row>
    <row r="3111" spans="1:28" ht="31" hidden="1" customHeight="1" outlineLevel="1" x14ac:dyDescent="0.35">
      <c r="A3111" s="47"/>
      <c r="B3111" s="48" t="s">
        <v>748</v>
      </c>
      <c r="C3111" s="49" t="s">
        <v>58</v>
      </c>
      <c r="D3111" s="55">
        <v>64</v>
      </c>
      <c r="E3111" s="51"/>
      <c r="F3111" s="42"/>
    </row>
    <row r="3112" spans="1:28" ht="31" hidden="1" customHeight="1" outlineLevel="1" x14ac:dyDescent="0.35">
      <c r="A3112" s="47"/>
      <c r="B3112" s="48" t="s">
        <v>749</v>
      </c>
      <c r="C3112" s="49" t="s">
        <v>58</v>
      </c>
      <c r="D3112" s="55">
        <v>192</v>
      </c>
      <c r="E3112" s="51"/>
      <c r="F3112" s="42"/>
    </row>
    <row r="3113" spans="1:28" ht="31" hidden="1" customHeight="1" outlineLevel="1" x14ac:dyDescent="0.35">
      <c r="A3113" s="47"/>
      <c r="B3113" s="48" t="s">
        <v>750</v>
      </c>
      <c r="C3113" s="49" t="s">
        <v>58</v>
      </c>
      <c r="D3113" s="55">
        <v>96</v>
      </c>
      <c r="E3113" s="51"/>
      <c r="F3113" s="42"/>
    </row>
    <row r="3114" spans="1:28" s="39" customFormat="1" ht="21" customHeight="1" collapsed="1" x14ac:dyDescent="0.35">
      <c r="A3114" s="158" t="s">
        <v>1008</v>
      </c>
      <c r="B3114" s="158"/>
      <c r="C3114" s="158"/>
      <c r="D3114" s="158"/>
      <c r="E3114" s="158"/>
      <c r="F3114" s="34"/>
      <c r="G3114" s="35"/>
      <c r="H3114" s="36"/>
      <c r="I3114" s="37"/>
      <c r="J3114" s="37"/>
      <c r="K3114" s="38"/>
      <c r="L3114" s="38"/>
      <c r="M3114" s="38"/>
      <c r="N3114" s="36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</row>
    <row r="3115" spans="1:28" s="39" customFormat="1" ht="21" customHeight="1" x14ac:dyDescent="0.35">
      <c r="A3115" s="160" t="s">
        <v>1014</v>
      </c>
      <c r="B3115" s="161"/>
      <c r="C3115" s="161"/>
      <c r="D3115" s="161"/>
      <c r="E3115" s="162"/>
      <c r="F3115" s="34"/>
      <c r="G3115" s="35"/>
      <c r="H3115" s="36"/>
      <c r="I3115" s="37"/>
      <c r="J3115" s="37"/>
      <c r="K3115" s="38"/>
      <c r="L3115" s="38"/>
      <c r="M3115" s="38"/>
      <c r="N3115" s="36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</row>
    <row r="3116" spans="1:28" ht="31" customHeight="1" x14ac:dyDescent="0.35">
      <c r="A3116" s="24">
        <f>A3108+1</f>
        <v>1320</v>
      </c>
      <c r="B3116" s="25" t="s">
        <v>136</v>
      </c>
      <c r="C3116" s="89" t="s">
        <v>19</v>
      </c>
      <c r="D3116" s="26">
        <f>6.92*4</f>
        <v>27.68</v>
      </c>
      <c r="E3116" s="41"/>
      <c r="F3116" s="42"/>
    </row>
    <row r="3117" spans="1:28" ht="34.5" hidden="1" customHeight="1" outlineLevel="1" x14ac:dyDescent="0.35">
      <c r="A3117" s="47"/>
      <c r="B3117" s="48" t="s">
        <v>134</v>
      </c>
      <c r="C3117" s="75" t="s">
        <v>19</v>
      </c>
      <c r="D3117" s="68">
        <f>D3116</f>
        <v>27.68</v>
      </c>
      <c r="E3117" s="78"/>
      <c r="F3117" s="42"/>
    </row>
    <row r="3118" spans="1:28" ht="31" customHeight="1" collapsed="1" x14ac:dyDescent="0.35">
      <c r="A3118" s="24">
        <f>A3116+1</f>
        <v>1321</v>
      </c>
      <c r="B3118" s="25" t="s">
        <v>389</v>
      </c>
      <c r="C3118" s="89" t="s">
        <v>19</v>
      </c>
      <c r="D3118" s="26">
        <f>22.82*4</f>
        <v>91.28</v>
      </c>
      <c r="E3118" s="41"/>
      <c r="F3118" s="42"/>
    </row>
    <row r="3119" spans="1:28" ht="30" hidden="1" customHeight="1" outlineLevel="1" x14ac:dyDescent="0.35">
      <c r="A3119" s="47"/>
      <c r="B3119" s="48" t="s">
        <v>137</v>
      </c>
      <c r="C3119" s="49" t="s">
        <v>14</v>
      </c>
      <c r="D3119" s="65">
        <f>(575.42+613.52)*4/1000</f>
        <v>4.7557600000000004</v>
      </c>
      <c r="E3119" s="78"/>
      <c r="F3119" s="42"/>
    </row>
    <row r="3120" spans="1:28" ht="30" hidden="1" customHeight="1" outlineLevel="1" x14ac:dyDescent="0.35">
      <c r="A3120" s="47"/>
      <c r="B3120" s="48" t="s">
        <v>927</v>
      </c>
      <c r="C3120" s="49" t="s">
        <v>14</v>
      </c>
      <c r="D3120" s="65">
        <f>(4.74+3.37)*4*17/1000</f>
        <v>0.55147999999999997</v>
      </c>
      <c r="E3120" s="78"/>
      <c r="F3120" s="42"/>
    </row>
    <row r="3121" spans="1:28" ht="31" hidden="1" customHeight="1" outlineLevel="1" x14ac:dyDescent="0.35">
      <c r="A3121" s="47"/>
      <c r="B3121" s="48" t="s">
        <v>65</v>
      </c>
      <c r="C3121" s="49" t="s">
        <v>19</v>
      </c>
      <c r="D3121" s="68">
        <f>D3118</f>
        <v>91.28</v>
      </c>
      <c r="E3121" s="69"/>
      <c r="F3121" s="42"/>
    </row>
    <row r="3122" spans="1:28" s="58" customFormat="1" ht="30" customHeight="1" collapsed="1" x14ac:dyDescent="0.4">
      <c r="A3122" s="24">
        <f>A3118+1</f>
        <v>1322</v>
      </c>
      <c r="B3122" s="59" t="s">
        <v>138</v>
      </c>
      <c r="C3122" s="70" t="s">
        <v>67</v>
      </c>
      <c r="D3122" s="40" t="s">
        <v>1015</v>
      </c>
      <c r="E3122" s="66"/>
      <c r="F3122" s="57"/>
    </row>
    <row r="3123" spans="1:28" s="58" customFormat="1" ht="30" hidden="1" customHeight="1" outlineLevel="1" x14ac:dyDescent="0.4">
      <c r="A3123" s="54"/>
      <c r="B3123" s="48" t="s">
        <v>1016</v>
      </c>
      <c r="C3123" s="49" t="s">
        <v>58</v>
      </c>
      <c r="D3123" s="55">
        <f>16*4</f>
        <v>64</v>
      </c>
      <c r="E3123" s="51">
        <f>0.184*4</f>
        <v>0.73599999999999999</v>
      </c>
      <c r="F3123" s="57"/>
    </row>
    <row r="3124" spans="1:28" ht="31" customHeight="1" collapsed="1" x14ac:dyDescent="0.35">
      <c r="A3124" s="24">
        <f>A3122+1</f>
        <v>1323</v>
      </c>
      <c r="B3124" s="25" t="s">
        <v>174</v>
      </c>
      <c r="C3124" s="89" t="s">
        <v>29</v>
      </c>
      <c r="D3124" s="26">
        <f>((4.1*0.3*2)+(15.9*0.3*2)+(15.9*4.1))*4</f>
        <v>308.76</v>
      </c>
      <c r="E3124" s="41"/>
      <c r="F3124" s="42"/>
    </row>
    <row r="3125" spans="1:28" ht="31" hidden="1" customHeight="1" outlineLevel="1" x14ac:dyDescent="0.35">
      <c r="A3125" s="47"/>
      <c r="B3125" s="48" t="s">
        <v>175</v>
      </c>
      <c r="C3125" s="49" t="s">
        <v>74</v>
      </c>
      <c r="D3125" s="68">
        <f>D3124*2*2</f>
        <v>1235.04</v>
      </c>
      <c r="E3125" s="69">
        <v>1.2350000000000001</v>
      </c>
      <c r="F3125" s="42"/>
    </row>
    <row r="3126" spans="1:28" s="33" customFormat="1" ht="31" customHeight="1" collapsed="1" x14ac:dyDescent="0.35">
      <c r="A3126" s="24">
        <f>A3124+1</f>
        <v>1324</v>
      </c>
      <c r="B3126" s="25" t="s">
        <v>1017</v>
      </c>
      <c r="C3126" s="26" t="s">
        <v>19</v>
      </c>
      <c r="D3126" s="26">
        <f>D3096-600</f>
        <v>1452</v>
      </c>
      <c r="E3126" s="28"/>
      <c r="F3126" s="29"/>
      <c r="G3126" s="30"/>
      <c r="H3126" s="31"/>
      <c r="I3126" s="30"/>
      <c r="J3126" s="30"/>
      <c r="K3126" s="32"/>
      <c r="L3126" s="32"/>
      <c r="M3126" s="32"/>
      <c r="N3126" s="31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</row>
    <row r="3127" spans="1:28" s="33" customFormat="1" ht="31" customHeight="1" x14ac:dyDescent="0.35">
      <c r="A3127" s="24">
        <f t="shared" ref="A3127:A3129" si="17">A3126+1</f>
        <v>1325</v>
      </c>
      <c r="B3127" s="25" t="s">
        <v>1011</v>
      </c>
      <c r="C3127" s="26" t="s">
        <v>14</v>
      </c>
      <c r="D3127" s="26">
        <f>1.7*D3126</f>
        <v>2468.4</v>
      </c>
      <c r="E3127" s="28"/>
      <c r="F3127" s="29"/>
      <c r="G3127" s="30"/>
      <c r="H3127" s="31"/>
      <c r="I3127" s="30"/>
      <c r="J3127" s="30"/>
      <c r="K3127" s="32"/>
      <c r="L3127" s="32"/>
      <c r="M3127" s="32"/>
      <c r="N3127" s="31"/>
      <c r="O3127" s="32"/>
      <c r="P3127" s="32"/>
      <c r="Q3127" s="32"/>
      <c r="R3127" s="32"/>
      <c r="S3127" s="32"/>
      <c r="T3127" s="32"/>
      <c r="U3127" s="32"/>
      <c r="V3127" s="32"/>
      <c r="W3127" s="32"/>
      <c r="X3127" s="32"/>
      <c r="Y3127" s="32"/>
      <c r="Z3127" s="32"/>
      <c r="AA3127" s="32"/>
      <c r="AB3127" s="32"/>
    </row>
    <row r="3128" spans="1:28" s="33" customFormat="1" ht="31" customHeight="1" x14ac:dyDescent="0.35">
      <c r="A3128" s="24">
        <f t="shared" si="17"/>
        <v>1326</v>
      </c>
      <c r="B3128" s="25" t="s">
        <v>1018</v>
      </c>
      <c r="C3128" s="26" t="s">
        <v>19</v>
      </c>
      <c r="D3128" s="26">
        <f>D3126</f>
        <v>1452</v>
      </c>
      <c r="E3128" s="28"/>
      <c r="F3128" s="29"/>
      <c r="G3128" s="30"/>
      <c r="H3128" s="31"/>
      <c r="I3128" s="30"/>
      <c r="J3128" s="30"/>
      <c r="K3128" s="32"/>
      <c r="L3128" s="32"/>
      <c r="M3128" s="32"/>
      <c r="N3128" s="31"/>
      <c r="O3128" s="32"/>
      <c r="P3128" s="32"/>
      <c r="Q3128" s="32"/>
      <c r="R3128" s="32"/>
      <c r="S3128" s="32"/>
      <c r="T3128" s="32"/>
      <c r="U3128" s="32"/>
      <c r="V3128" s="32"/>
      <c r="W3128" s="32"/>
      <c r="X3128" s="32"/>
      <c r="Y3128" s="32"/>
      <c r="Z3128" s="32"/>
      <c r="AA3128" s="32"/>
      <c r="AB3128" s="32"/>
    </row>
    <row r="3129" spans="1:28" ht="31" customHeight="1" x14ac:dyDescent="0.35">
      <c r="A3129" s="24">
        <f t="shared" si="17"/>
        <v>1327</v>
      </c>
      <c r="B3129" s="25" t="s">
        <v>1019</v>
      </c>
      <c r="C3129" s="89" t="s">
        <v>19</v>
      </c>
      <c r="D3129" s="26">
        <f>D3128</f>
        <v>1452</v>
      </c>
      <c r="E3129" s="41"/>
      <c r="F3129" s="42"/>
    </row>
    <row r="3130" spans="1:28" s="39" customFormat="1" ht="21" customHeight="1" x14ac:dyDescent="0.35">
      <c r="A3130" s="158" t="s">
        <v>1020</v>
      </c>
      <c r="B3130" s="158"/>
      <c r="C3130" s="158"/>
      <c r="D3130" s="158"/>
      <c r="E3130" s="158"/>
      <c r="F3130" s="34"/>
      <c r="G3130" s="35"/>
      <c r="H3130" s="36"/>
      <c r="I3130" s="37"/>
      <c r="J3130" s="37"/>
      <c r="K3130" s="38"/>
      <c r="L3130" s="38"/>
      <c r="M3130" s="38"/>
      <c r="N3130" s="36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</row>
    <row r="3131" spans="1:28" ht="31" customHeight="1" x14ac:dyDescent="0.35">
      <c r="A3131" s="24">
        <f>A3129+1</f>
        <v>1328</v>
      </c>
      <c r="B3131" s="25" t="s">
        <v>1021</v>
      </c>
      <c r="C3131" s="89" t="s">
        <v>58</v>
      </c>
      <c r="D3131" s="26">
        <v>4</v>
      </c>
      <c r="E3131" s="41"/>
      <c r="F3131" s="42"/>
    </row>
    <row r="3132" spans="1:28" ht="31" hidden="1" customHeight="1" outlineLevel="1" x14ac:dyDescent="0.35">
      <c r="A3132" s="47"/>
      <c r="B3132" s="48" t="s">
        <v>1022</v>
      </c>
      <c r="C3132" s="49" t="s">
        <v>58</v>
      </c>
      <c r="D3132" s="55">
        <v>4</v>
      </c>
      <c r="E3132" s="69">
        <v>40</v>
      </c>
      <c r="F3132" s="42"/>
    </row>
    <row r="3133" spans="1:28" s="39" customFormat="1" ht="30" customHeight="1" collapsed="1" x14ac:dyDescent="0.35">
      <c r="A3133" s="153" t="s">
        <v>1023</v>
      </c>
      <c r="B3133" s="153"/>
      <c r="C3133" s="153"/>
      <c r="D3133" s="153"/>
      <c r="E3133" s="153"/>
      <c r="F3133" s="34"/>
      <c r="G3133" s="35"/>
      <c r="H3133" s="36"/>
      <c r="I3133" s="37"/>
      <c r="J3133" s="37"/>
      <c r="K3133" s="38"/>
      <c r="L3133" s="38"/>
      <c r="M3133" s="38"/>
      <c r="N3133" s="36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</row>
    <row r="3134" spans="1:28" s="39" customFormat="1" ht="21" customHeight="1" x14ac:dyDescent="0.35">
      <c r="A3134" s="158" t="s">
        <v>1020</v>
      </c>
      <c r="B3134" s="158"/>
      <c r="C3134" s="158"/>
      <c r="D3134" s="158"/>
      <c r="E3134" s="158"/>
      <c r="F3134" s="34"/>
      <c r="G3134" s="35"/>
      <c r="H3134" s="36"/>
      <c r="I3134" s="37"/>
      <c r="J3134" s="37"/>
      <c r="K3134" s="38"/>
      <c r="L3134" s="38"/>
      <c r="M3134" s="38"/>
      <c r="N3134" s="36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</row>
    <row r="3135" spans="1:28" s="39" customFormat="1" ht="21" customHeight="1" x14ac:dyDescent="0.35">
      <c r="A3135" s="154" t="s">
        <v>908</v>
      </c>
      <c r="B3135" s="154"/>
      <c r="C3135" s="154"/>
      <c r="D3135" s="154"/>
      <c r="E3135" s="154"/>
      <c r="F3135" s="34"/>
      <c r="G3135" s="35"/>
      <c r="H3135" s="36"/>
      <c r="I3135" s="37"/>
      <c r="J3135" s="37"/>
      <c r="K3135" s="38"/>
      <c r="L3135" s="38"/>
      <c r="M3135" s="38"/>
      <c r="N3135" s="36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</row>
    <row r="3136" spans="1:28" ht="31" customHeight="1" x14ac:dyDescent="0.35">
      <c r="A3136" s="24">
        <f>A3131+1</f>
        <v>1329</v>
      </c>
      <c r="B3136" s="59" t="s">
        <v>600</v>
      </c>
      <c r="C3136" s="26" t="s">
        <v>19</v>
      </c>
      <c r="D3136" s="40">
        <f>(33.4*6)</f>
        <v>200.39999999999998</v>
      </c>
      <c r="E3136" s="41"/>
      <c r="F3136" s="42"/>
    </row>
    <row r="3137" spans="1:28" ht="31" customHeight="1" x14ac:dyDescent="0.35">
      <c r="A3137" s="24">
        <f>A3136+1</f>
        <v>1330</v>
      </c>
      <c r="B3137" s="59" t="s">
        <v>1024</v>
      </c>
      <c r="C3137" s="26" t="s">
        <v>132</v>
      </c>
      <c r="D3137" s="40">
        <v>40</v>
      </c>
      <c r="E3137" s="89" t="s">
        <v>151</v>
      </c>
      <c r="F3137" s="42"/>
    </row>
    <row r="3138" spans="1:28" ht="31" hidden="1" customHeight="1" outlineLevel="1" x14ac:dyDescent="0.35">
      <c r="A3138" s="47"/>
      <c r="B3138" s="48" t="s">
        <v>1025</v>
      </c>
      <c r="C3138" s="49" t="s">
        <v>14</v>
      </c>
      <c r="D3138" s="81">
        <v>1.26</v>
      </c>
      <c r="E3138" s="69">
        <v>1E-3</v>
      </c>
      <c r="F3138" s="42"/>
    </row>
    <row r="3139" spans="1:28" ht="31" hidden="1" customHeight="1" outlineLevel="1" x14ac:dyDescent="0.35">
      <c r="A3139" s="47"/>
      <c r="B3139" s="48" t="s">
        <v>1026</v>
      </c>
      <c r="C3139" s="49" t="s">
        <v>58</v>
      </c>
      <c r="D3139" s="55">
        <v>2</v>
      </c>
      <c r="E3139" s="69">
        <v>2E-3</v>
      </c>
      <c r="F3139" s="42"/>
    </row>
    <row r="3140" spans="1:28" ht="31" hidden="1" customHeight="1" outlineLevel="1" x14ac:dyDescent="0.35">
      <c r="A3140" s="47"/>
      <c r="B3140" s="48" t="s">
        <v>1027</v>
      </c>
      <c r="C3140" s="49" t="s">
        <v>58</v>
      </c>
      <c r="D3140" s="55">
        <v>6</v>
      </c>
      <c r="E3140" s="69">
        <v>3.5999999999999997E-2</v>
      </c>
      <c r="F3140" s="42"/>
    </row>
    <row r="3141" spans="1:28" ht="31" hidden="1" customHeight="1" outlineLevel="1" x14ac:dyDescent="0.35">
      <c r="A3141" s="47"/>
      <c r="B3141" s="48" t="s">
        <v>1028</v>
      </c>
      <c r="C3141" s="49" t="s">
        <v>58</v>
      </c>
      <c r="D3141" s="55">
        <v>2</v>
      </c>
      <c r="E3141" s="69">
        <v>1E-3</v>
      </c>
      <c r="F3141" s="42"/>
    </row>
    <row r="3142" spans="1:28" ht="30" customHeight="1" collapsed="1" x14ac:dyDescent="0.35">
      <c r="A3142" s="24">
        <f>A3137+1</f>
        <v>1331</v>
      </c>
      <c r="B3142" s="59" t="s">
        <v>916</v>
      </c>
      <c r="C3142" s="60" t="s">
        <v>19</v>
      </c>
      <c r="D3142" s="67">
        <f>D3136-6</f>
        <v>194.39999999999998</v>
      </c>
      <c r="E3142" s="66"/>
      <c r="F3142" s="42"/>
    </row>
    <row r="3143" spans="1:28" ht="30.9" x14ac:dyDescent="0.35">
      <c r="A3143" s="24">
        <f>A3142+1</f>
        <v>1332</v>
      </c>
      <c r="B3143" s="59" t="s">
        <v>1029</v>
      </c>
      <c r="C3143" s="26" t="s">
        <v>132</v>
      </c>
      <c r="D3143" s="67">
        <v>12.6</v>
      </c>
      <c r="E3143" s="41"/>
      <c r="F3143" s="42"/>
    </row>
    <row r="3144" spans="1:28" s="58" customFormat="1" ht="30" hidden="1" customHeight="1" outlineLevel="1" x14ac:dyDescent="0.4">
      <c r="A3144" s="54"/>
      <c r="B3144" s="48" t="s">
        <v>1030</v>
      </c>
      <c r="C3144" s="49" t="s">
        <v>251</v>
      </c>
      <c r="D3144" s="55">
        <v>28</v>
      </c>
      <c r="E3144" s="51"/>
      <c r="F3144" s="57"/>
    </row>
    <row r="3145" spans="1:28" s="58" customFormat="1" ht="30" customHeight="1" collapsed="1" x14ac:dyDescent="0.4">
      <c r="A3145" s="24">
        <f>A3143+1</f>
        <v>1333</v>
      </c>
      <c r="B3145" s="59" t="s">
        <v>1031</v>
      </c>
      <c r="C3145" s="70" t="s">
        <v>58</v>
      </c>
      <c r="D3145" s="82">
        <v>8</v>
      </c>
      <c r="E3145" s="66"/>
      <c r="F3145" s="57"/>
    </row>
    <row r="3146" spans="1:28" s="58" customFormat="1" ht="30" hidden="1" customHeight="1" outlineLevel="1" x14ac:dyDescent="0.4">
      <c r="A3146" s="54"/>
      <c r="B3146" s="48" t="s">
        <v>1032</v>
      </c>
      <c r="C3146" s="49" t="s">
        <v>58</v>
      </c>
      <c r="D3146" s="54">
        <v>8</v>
      </c>
      <c r="E3146" s="69"/>
      <c r="F3146" s="57"/>
    </row>
    <row r="3147" spans="1:28" s="33" customFormat="1" ht="31" customHeight="1" collapsed="1" x14ac:dyDescent="0.35">
      <c r="A3147" s="24">
        <f>A3145+1</f>
        <v>1334</v>
      </c>
      <c r="B3147" s="59" t="s">
        <v>510</v>
      </c>
      <c r="C3147" s="26" t="s">
        <v>58</v>
      </c>
      <c r="D3147" s="73">
        <v>6</v>
      </c>
      <c r="E3147" s="28"/>
      <c r="F3147" s="29"/>
      <c r="G3147" s="30"/>
      <c r="H3147" s="31"/>
      <c r="I3147" s="30"/>
      <c r="J3147" s="30"/>
      <c r="K3147" s="32"/>
      <c r="L3147" s="32"/>
      <c r="M3147" s="32"/>
      <c r="N3147" s="31"/>
      <c r="O3147" s="32"/>
      <c r="P3147" s="32"/>
      <c r="Q3147" s="32"/>
      <c r="R3147" s="32"/>
      <c r="S3147" s="32"/>
      <c r="T3147" s="32"/>
      <c r="U3147" s="32"/>
      <c r="V3147" s="32"/>
      <c r="W3147" s="32"/>
      <c r="X3147" s="32"/>
      <c r="Y3147" s="32"/>
      <c r="Z3147" s="32"/>
      <c r="AA3147" s="32"/>
      <c r="AB3147" s="32"/>
    </row>
    <row r="3148" spans="1:28" s="39" customFormat="1" ht="46.3" hidden="1" outlineLevel="1" x14ac:dyDescent="0.35">
      <c r="A3148" s="74"/>
      <c r="B3148" s="48" t="s">
        <v>511</v>
      </c>
      <c r="C3148" s="49" t="s">
        <v>251</v>
      </c>
      <c r="D3148" s="55">
        <v>6</v>
      </c>
      <c r="E3148" s="78">
        <v>5.6000000000000001E-2</v>
      </c>
      <c r="F3148" s="34"/>
      <c r="G3148" s="35"/>
      <c r="H3148" s="36"/>
      <c r="I3148" s="37"/>
      <c r="J3148" s="37"/>
      <c r="K3148" s="38"/>
      <c r="L3148" s="38"/>
      <c r="M3148" s="38"/>
      <c r="N3148" s="36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</row>
    <row r="3149" spans="1:28" s="39" customFormat="1" ht="18" hidden="1" outlineLevel="1" x14ac:dyDescent="0.35">
      <c r="A3149" s="74"/>
      <c r="B3149" s="48" t="s">
        <v>1033</v>
      </c>
      <c r="C3149" s="49" t="s">
        <v>251</v>
      </c>
      <c r="D3149" s="55">
        <v>2</v>
      </c>
      <c r="E3149" s="78">
        <v>5.6000000000000001E-2</v>
      </c>
      <c r="F3149" s="34"/>
      <c r="G3149" s="35"/>
      <c r="H3149" s="36"/>
      <c r="I3149" s="37"/>
      <c r="J3149" s="37"/>
      <c r="K3149" s="38"/>
      <c r="L3149" s="38"/>
      <c r="M3149" s="38"/>
      <c r="N3149" s="36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</row>
    <row r="3150" spans="1:28" s="39" customFormat="1" ht="21" customHeight="1" collapsed="1" x14ac:dyDescent="0.35">
      <c r="A3150" s="158" t="s">
        <v>1034</v>
      </c>
      <c r="B3150" s="158"/>
      <c r="C3150" s="158"/>
      <c r="D3150" s="158"/>
      <c r="E3150" s="158"/>
      <c r="F3150" s="34"/>
      <c r="G3150" s="35"/>
      <c r="H3150" s="36"/>
      <c r="I3150" s="37"/>
      <c r="J3150" s="37"/>
      <c r="K3150" s="38"/>
      <c r="L3150" s="38"/>
      <c r="M3150" s="38"/>
      <c r="N3150" s="36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</row>
    <row r="3151" spans="1:28" s="39" customFormat="1" ht="21" customHeight="1" x14ac:dyDescent="0.35">
      <c r="A3151" s="154" t="s">
        <v>1035</v>
      </c>
      <c r="B3151" s="154"/>
      <c r="C3151" s="154"/>
      <c r="D3151" s="154"/>
      <c r="E3151" s="154"/>
      <c r="F3151" s="34"/>
      <c r="G3151" s="35"/>
      <c r="H3151" s="36"/>
      <c r="I3151" s="37"/>
      <c r="J3151" s="37"/>
      <c r="K3151" s="38"/>
      <c r="L3151" s="38"/>
      <c r="M3151" s="38"/>
      <c r="N3151" s="36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</row>
    <row r="3152" spans="1:28" ht="30" customHeight="1" x14ac:dyDescent="0.35">
      <c r="A3152" s="24">
        <f>A3147+1</f>
        <v>1335</v>
      </c>
      <c r="B3152" s="59" t="s">
        <v>600</v>
      </c>
      <c r="C3152" s="60" t="s">
        <v>19</v>
      </c>
      <c r="D3152" s="67">
        <f>4*4*6*2</f>
        <v>192</v>
      </c>
      <c r="E3152" s="66"/>
      <c r="F3152" s="42"/>
    </row>
    <row r="3153" spans="1:28" s="58" customFormat="1" ht="30" customHeight="1" x14ac:dyDescent="0.4">
      <c r="A3153" s="24">
        <f>A3152+1</f>
        <v>1336</v>
      </c>
      <c r="B3153" s="59" t="s">
        <v>894</v>
      </c>
      <c r="C3153" s="70" t="s">
        <v>19</v>
      </c>
      <c r="D3153" s="67">
        <f>3*3*0.2</f>
        <v>1.8</v>
      </c>
      <c r="E3153" s="66"/>
      <c r="F3153" s="57"/>
    </row>
    <row r="3154" spans="1:28" s="58" customFormat="1" ht="30" hidden="1" customHeight="1" outlineLevel="1" x14ac:dyDescent="0.4">
      <c r="A3154" s="54"/>
      <c r="B3154" s="48" t="s">
        <v>740</v>
      </c>
      <c r="C3154" s="49" t="s">
        <v>19</v>
      </c>
      <c r="D3154" s="50">
        <f>1.8*1.1</f>
        <v>1.9800000000000002</v>
      </c>
      <c r="E3154" s="69"/>
      <c r="F3154" s="57"/>
    </row>
    <row r="3155" spans="1:28" s="58" customFormat="1" ht="30" customHeight="1" collapsed="1" x14ac:dyDescent="0.4">
      <c r="A3155" s="24">
        <f>A3153+1</f>
        <v>1337</v>
      </c>
      <c r="B3155" s="119" t="s">
        <v>1036</v>
      </c>
      <c r="C3155" s="120" t="s">
        <v>1037</v>
      </c>
      <c r="D3155" s="121" t="s">
        <v>1038</v>
      </c>
      <c r="E3155" s="66"/>
      <c r="F3155" s="57"/>
    </row>
    <row r="3156" spans="1:28" ht="30" hidden="1" customHeight="1" outlineLevel="1" x14ac:dyDescent="0.35">
      <c r="A3156" s="47"/>
      <c r="B3156" s="48" t="s">
        <v>1039</v>
      </c>
      <c r="C3156" s="49" t="s">
        <v>58</v>
      </c>
      <c r="D3156" s="55">
        <v>2</v>
      </c>
      <c r="E3156" s="78">
        <v>2.96</v>
      </c>
      <c r="F3156" s="42"/>
    </row>
    <row r="3157" spans="1:28" ht="30" hidden="1" customHeight="1" outlineLevel="1" x14ac:dyDescent="0.35">
      <c r="A3157" s="47"/>
      <c r="B3157" s="48" t="s">
        <v>1040</v>
      </c>
      <c r="C3157" s="49" t="s">
        <v>58</v>
      </c>
      <c r="D3157" s="55">
        <v>12</v>
      </c>
      <c r="E3157" s="78">
        <v>17.760000000000002</v>
      </c>
      <c r="F3157" s="42"/>
    </row>
    <row r="3158" spans="1:28" ht="30" hidden="1" customHeight="1" outlineLevel="1" x14ac:dyDescent="0.35">
      <c r="A3158" s="47"/>
      <c r="B3158" s="48" t="s">
        <v>1041</v>
      </c>
      <c r="C3158" s="49" t="s">
        <v>58</v>
      </c>
      <c r="D3158" s="55">
        <v>2</v>
      </c>
      <c r="E3158" s="78">
        <v>2.4</v>
      </c>
      <c r="F3158" s="42"/>
    </row>
    <row r="3159" spans="1:28" ht="30" hidden="1" customHeight="1" outlineLevel="1" x14ac:dyDescent="0.35">
      <c r="A3159" s="47"/>
      <c r="B3159" s="48" t="s">
        <v>1042</v>
      </c>
      <c r="C3159" s="49" t="s">
        <v>58</v>
      </c>
      <c r="D3159" s="55">
        <v>2</v>
      </c>
      <c r="E3159" s="78">
        <v>0.26</v>
      </c>
      <c r="F3159" s="42"/>
    </row>
    <row r="3160" spans="1:28" ht="30" hidden="1" customHeight="1" outlineLevel="1" x14ac:dyDescent="0.35">
      <c r="A3160" s="47"/>
      <c r="B3160" s="48" t="s">
        <v>1043</v>
      </c>
      <c r="C3160" s="49" t="s">
        <v>58</v>
      </c>
      <c r="D3160" s="55">
        <v>2</v>
      </c>
      <c r="E3160" s="78">
        <v>0.1</v>
      </c>
      <c r="F3160" s="42"/>
    </row>
    <row r="3161" spans="1:28" ht="30" hidden="1" customHeight="1" outlineLevel="1" x14ac:dyDescent="0.35">
      <c r="A3161" s="47"/>
      <c r="B3161" s="48" t="s">
        <v>1044</v>
      </c>
      <c r="C3161" s="49" t="s">
        <v>58</v>
      </c>
      <c r="D3161" s="55">
        <v>2</v>
      </c>
      <c r="E3161" s="78"/>
      <c r="F3161" s="42"/>
    </row>
    <row r="3162" spans="1:28" ht="30" hidden="1" customHeight="1" outlineLevel="1" x14ac:dyDescent="0.35">
      <c r="A3162" s="47"/>
      <c r="B3162" s="48" t="s">
        <v>1045</v>
      </c>
      <c r="C3162" s="49" t="s">
        <v>58</v>
      </c>
      <c r="D3162" s="55">
        <v>2</v>
      </c>
      <c r="E3162" s="78"/>
      <c r="F3162" s="42"/>
    </row>
    <row r="3163" spans="1:28" ht="31" customHeight="1" collapsed="1" x14ac:dyDescent="0.35">
      <c r="A3163" s="72">
        <f>A3155+1</f>
        <v>1338</v>
      </c>
      <c r="B3163" s="25" t="s">
        <v>174</v>
      </c>
      <c r="C3163" s="26" t="s">
        <v>29</v>
      </c>
      <c r="D3163" s="80">
        <v>187.94</v>
      </c>
      <c r="E3163" s="41"/>
      <c r="F3163" s="42"/>
    </row>
    <row r="3164" spans="1:28" ht="31" hidden="1" customHeight="1" outlineLevel="1" x14ac:dyDescent="0.35">
      <c r="A3164" s="47"/>
      <c r="B3164" s="48" t="s">
        <v>175</v>
      </c>
      <c r="C3164" s="49" t="s">
        <v>74</v>
      </c>
      <c r="D3164" s="68">
        <f>187.9*2*2</f>
        <v>751.6</v>
      </c>
      <c r="E3164" s="69">
        <v>0.23699999999999999</v>
      </c>
      <c r="F3164" s="42"/>
    </row>
    <row r="3165" spans="1:28" ht="30" customHeight="1" collapsed="1" x14ac:dyDescent="0.35">
      <c r="A3165" s="72">
        <f>A3163+1</f>
        <v>1339</v>
      </c>
      <c r="B3165" s="59" t="s">
        <v>757</v>
      </c>
      <c r="C3165" s="60" t="s">
        <v>19</v>
      </c>
      <c r="D3165" s="67">
        <f>D3152-9.46</f>
        <v>182.54</v>
      </c>
      <c r="E3165" s="66"/>
      <c r="F3165" s="42"/>
    </row>
    <row r="3166" spans="1:28" s="39" customFormat="1" ht="21" customHeight="1" x14ac:dyDescent="0.35">
      <c r="A3166" s="154" t="s">
        <v>1046</v>
      </c>
      <c r="B3166" s="154"/>
      <c r="C3166" s="154"/>
      <c r="D3166" s="154"/>
      <c r="E3166" s="154"/>
      <c r="F3166" s="34"/>
      <c r="G3166" s="35"/>
      <c r="H3166" s="36"/>
      <c r="I3166" s="37"/>
      <c r="J3166" s="37"/>
      <c r="K3166" s="38"/>
      <c r="L3166" s="38"/>
      <c r="M3166" s="38"/>
      <c r="N3166" s="36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</row>
    <row r="3167" spans="1:28" ht="30" customHeight="1" x14ac:dyDescent="0.35">
      <c r="A3167" s="24">
        <f>A3163+1</f>
        <v>1339</v>
      </c>
      <c r="B3167" s="59" t="s">
        <v>600</v>
      </c>
      <c r="C3167" s="60" t="s">
        <v>19</v>
      </c>
      <c r="D3167" s="67">
        <f>4*4*6</f>
        <v>96</v>
      </c>
      <c r="E3167" s="66"/>
      <c r="F3167" s="42"/>
    </row>
    <row r="3168" spans="1:28" s="58" customFormat="1" ht="30" customHeight="1" x14ac:dyDescent="0.4">
      <c r="A3168" s="24">
        <f>A3167+1</f>
        <v>1340</v>
      </c>
      <c r="B3168" s="59" t="s">
        <v>894</v>
      </c>
      <c r="C3168" s="70" t="s">
        <v>19</v>
      </c>
      <c r="D3168" s="67">
        <f>3*3*0.2</f>
        <v>1.8</v>
      </c>
      <c r="E3168" s="66"/>
      <c r="F3168" s="57"/>
    </row>
    <row r="3169" spans="1:28" s="58" customFormat="1" ht="30" hidden="1" customHeight="1" outlineLevel="1" x14ac:dyDescent="0.4">
      <c r="A3169" s="54"/>
      <c r="B3169" s="48" t="s">
        <v>740</v>
      </c>
      <c r="C3169" s="49" t="s">
        <v>19</v>
      </c>
      <c r="D3169" s="50">
        <f>1.8*1.1</f>
        <v>1.9800000000000002</v>
      </c>
      <c r="E3169" s="69"/>
      <c r="F3169" s="57"/>
    </row>
    <row r="3170" spans="1:28" s="58" customFormat="1" ht="30" customHeight="1" collapsed="1" x14ac:dyDescent="0.4">
      <c r="A3170" s="24">
        <f>A3168+1</f>
        <v>1341</v>
      </c>
      <c r="B3170" s="119" t="s">
        <v>1036</v>
      </c>
      <c r="C3170" s="120" t="s">
        <v>1037</v>
      </c>
      <c r="D3170" s="121" t="s">
        <v>1047</v>
      </c>
      <c r="E3170" s="66"/>
      <c r="F3170" s="57"/>
    </row>
    <row r="3171" spans="1:28" ht="30" hidden="1" customHeight="1" outlineLevel="1" x14ac:dyDescent="0.35">
      <c r="A3171" s="47"/>
      <c r="B3171" s="48" t="s">
        <v>1039</v>
      </c>
      <c r="C3171" s="49" t="s">
        <v>58</v>
      </c>
      <c r="D3171" s="55">
        <v>1</v>
      </c>
      <c r="E3171" s="78">
        <v>1.48</v>
      </c>
      <c r="F3171" s="42"/>
    </row>
    <row r="3172" spans="1:28" ht="30" hidden="1" customHeight="1" outlineLevel="1" x14ac:dyDescent="0.35">
      <c r="A3172" s="47"/>
      <c r="B3172" s="48" t="s">
        <v>1040</v>
      </c>
      <c r="C3172" s="49" t="s">
        <v>58</v>
      </c>
      <c r="D3172" s="55">
        <v>6</v>
      </c>
      <c r="E3172" s="78">
        <v>8.8800000000000008</v>
      </c>
      <c r="F3172" s="42"/>
    </row>
    <row r="3173" spans="1:28" ht="30" hidden="1" customHeight="1" outlineLevel="1" x14ac:dyDescent="0.35">
      <c r="A3173" s="47"/>
      <c r="B3173" s="48" t="s">
        <v>1048</v>
      </c>
      <c r="C3173" s="49" t="s">
        <v>58</v>
      </c>
      <c r="D3173" s="55">
        <v>1</v>
      </c>
      <c r="E3173" s="78">
        <v>1.1000000000000001</v>
      </c>
      <c r="F3173" s="42"/>
    </row>
    <row r="3174" spans="1:28" ht="30" hidden="1" customHeight="1" outlineLevel="1" x14ac:dyDescent="0.35">
      <c r="A3174" s="47"/>
      <c r="B3174" s="48" t="s">
        <v>1049</v>
      </c>
      <c r="C3174" s="49" t="s">
        <v>58</v>
      </c>
      <c r="D3174" s="55">
        <v>1</v>
      </c>
      <c r="E3174" s="78">
        <v>1.2</v>
      </c>
      <c r="F3174" s="42"/>
    </row>
    <row r="3175" spans="1:28" ht="30" hidden="1" customHeight="1" outlineLevel="1" x14ac:dyDescent="0.35">
      <c r="A3175" s="47"/>
      <c r="B3175" s="48" t="s">
        <v>1042</v>
      </c>
      <c r="C3175" s="49" t="s">
        <v>58</v>
      </c>
      <c r="D3175" s="55">
        <v>1</v>
      </c>
      <c r="E3175" s="78">
        <v>0.13</v>
      </c>
      <c r="F3175" s="42"/>
    </row>
    <row r="3176" spans="1:28" ht="30" hidden="1" customHeight="1" outlineLevel="1" x14ac:dyDescent="0.35">
      <c r="A3176" s="47"/>
      <c r="B3176" s="48" t="s">
        <v>1043</v>
      </c>
      <c r="C3176" s="49" t="s">
        <v>58</v>
      </c>
      <c r="D3176" s="55">
        <v>2</v>
      </c>
      <c r="E3176" s="78">
        <v>0.1</v>
      </c>
      <c r="F3176" s="42"/>
    </row>
    <row r="3177" spans="1:28" ht="30" hidden="1" customHeight="1" outlineLevel="1" x14ac:dyDescent="0.35">
      <c r="A3177" s="47"/>
      <c r="B3177" s="48" t="s">
        <v>1044</v>
      </c>
      <c r="C3177" s="49" t="s">
        <v>58</v>
      </c>
      <c r="D3177" s="55">
        <v>1</v>
      </c>
      <c r="E3177" s="78"/>
      <c r="F3177" s="42"/>
    </row>
    <row r="3178" spans="1:28" ht="30" hidden="1" customHeight="1" outlineLevel="1" x14ac:dyDescent="0.35">
      <c r="A3178" s="47"/>
      <c r="B3178" s="48" t="s">
        <v>1045</v>
      </c>
      <c r="C3178" s="49" t="s">
        <v>58</v>
      </c>
      <c r="D3178" s="55">
        <v>1</v>
      </c>
      <c r="E3178" s="78"/>
      <c r="F3178" s="42"/>
    </row>
    <row r="3179" spans="1:28" ht="31" customHeight="1" collapsed="1" x14ac:dyDescent="0.35">
      <c r="A3179" s="72">
        <f>A3170+1</f>
        <v>1342</v>
      </c>
      <c r="B3179" s="25" t="s">
        <v>174</v>
      </c>
      <c r="C3179" s="26" t="s">
        <v>29</v>
      </c>
      <c r="D3179" s="80">
        <v>107.16</v>
      </c>
      <c r="E3179" s="41"/>
      <c r="F3179" s="42"/>
    </row>
    <row r="3180" spans="1:28" ht="31" hidden="1" customHeight="1" outlineLevel="1" x14ac:dyDescent="0.35">
      <c r="A3180" s="47"/>
      <c r="B3180" s="48" t="s">
        <v>175</v>
      </c>
      <c r="C3180" s="49" t="s">
        <v>74</v>
      </c>
      <c r="D3180" s="68">
        <f>107.16*2*2</f>
        <v>428.64</v>
      </c>
      <c r="E3180" s="69">
        <v>0.23699999999999999</v>
      </c>
      <c r="F3180" s="42"/>
    </row>
    <row r="3181" spans="1:28" ht="30" customHeight="1" collapsed="1" x14ac:dyDescent="0.35">
      <c r="A3181" s="72">
        <f>A3179+1</f>
        <v>1343</v>
      </c>
      <c r="B3181" s="59" t="s">
        <v>757</v>
      </c>
      <c r="C3181" s="60" t="s">
        <v>19</v>
      </c>
      <c r="D3181" s="67">
        <f>D3167-5.19</f>
        <v>90.81</v>
      </c>
      <c r="E3181" s="66"/>
      <c r="F3181" s="42"/>
    </row>
    <row r="3182" spans="1:28" s="39" customFormat="1" ht="30" customHeight="1" x14ac:dyDescent="0.35">
      <c r="A3182" s="153" t="s">
        <v>1050</v>
      </c>
      <c r="B3182" s="153"/>
      <c r="C3182" s="153"/>
      <c r="D3182" s="153"/>
      <c r="E3182" s="153"/>
      <c r="F3182" s="34"/>
      <c r="G3182" s="35"/>
      <c r="H3182" s="36"/>
      <c r="I3182" s="37"/>
      <c r="J3182" s="37"/>
      <c r="K3182" s="38"/>
      <c r="L3182" s="38"/>
      <c r="M3182" s="38"/>
      <c r="N3182" s="36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</row>
    <row r="3183" spans="1:28" s="39" customFormat="1" ht="21" customHeight="1" x14ac:dyDescent="0.35">
      <c r="A3183" s="158" t="s">
        <v>1051</v>
      </c>
      <c r="B3183" s="158"/>
      <c r="C3183" s="158"/>
      <c r="D3183" s="158"/>
      <c r="E3183" s="158"/>
      <c r="F3183" s="34"/>
      <c r="G3183" s="35"/>
      <c r="H3183" s="36"/>
      <c r="I3183" s="37"/>
      <c r="J3183" s="37"/>
      <c r="K3183" s="38"/>
      <c r="L3183" s="38"/>
      <c r="M3183" s="38"/>
      <c r="N3183" s="36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</row>
    <row r="3184" spans="1:28" s="39" customFormat="1" ht="21" customHeight="1" x14ac:dyDescent="0.35">
      <c r="A3184" s="160" t="s">
        <v>17</v>
      </c>
      <c r="B3184" s="161"/>
      <c r="C3184" s="161"/>
      <c r="D3184" s="161"/>
      <c r="E3184" s="162"/>
      <c r="F3184" s="34"/>
      <c r="G3184" s="35"/>
      <c r="H3184" s="36"/>
      <c r="I3184" s="37"/>
      <c r="J3184" s="37"/>
      <c r="K3184" s="38"/>
      <c r="L3184" s="38"/>
      <c r="M3184" s="38"/>
      <c r="N3184" s="36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</row>
    <row r="3185" spans="1:28" ht="33" customHeight="1" x14ac:dyDescent="0.35">
      <c r="A3185" s="72">
        <f>A3181+1</f>
        <v>1344</v>
      </c>
      <c r="B3185" s="25" t="s">
        <v>600</v>
      </c>
      <c r="C3185" s="26" t="s">
        <v>19</v>
      </c>
      <c r="D3185" s="40">
        <v>5844.15</v>
      </c>
      <c r="E3185" s="41"/>
      <c r="F3185" s="53"/>
    </row>
    <row r="3186" spans="1:28" ht="33" customHeight="1" x14ac:dyDescent="0.35">
      <c r="A3186" s="24">
        <f t="shared" ref="A3186:A3188" si="18">A3185+1</f>
        <v>1345</v>
      </c>
      <c r="B3186" s="25" t="s">
        <v>1012</v>
      </c>
      <c r="C3186" s="26" t="s">
        <v>19</v>
      </c>
      <c r="D3186" s="40">
        <v>5844.15</v>
      </c>
      <c r="E3186" s="41"/>
      <c r="F3186" s="53"/>
    </row>
    <row r="3187" spans="1:28" ht="33" customHeight="1" x14ac:dyDescent="0.35">
      <c r="A3187" s="24">
        <f t="shared" si="18"/>
        <v>1346</v>
      </c>
      <c r="B3187" s="25" t="s">
        <v>1052</v>
      </c>
      <c r="C3187" s="26" t="s">
        <v>1037</v>
      </c>
      <c r="D3187" s="40" t="s">
        <v>1053</v>
      </c>
      <c r="E3187" s="41"/>
      <c r="F3187" s="53"/>
    </row>
    <row r="3188" spans="1:28" ht="31" customHeight="1" x14ac:dyDescent="0.35">
      <c r="A3188" s="24">
        <f t="shared" si="18"/>
        <v>1347</v>
      </c>
      <c r="B3188" s="25" t="s">
        <v>1054</v>
      </c>
      <c r="C3188" s="26" t="s">
        <v>1037</v>
      </c>
      <c r="D3188" s="40" t="s">
        <v>1053</v>
      </c>
      <c r="E3188" s="41"/>
      <c r="F3188" s="42"/>
    </row>
    <row r="3189" spans="1:28" s="39" customFormat="1" ht="21" customHeight="1" x14ac:dyDescent="0.35">
      <c r="A3189" s="160" t="s">
        <v>1055</v>
      </c>
      <c r="B3189" s="161"/>
      <c r="C3189" s="161"/>
      <c r="D3189" s="161"/>
      <c r="E3189" s="162"/>
      <c r="F3189" s="34"/>
      <c r="G3189" s="35"/>
      <c r="H3189" s="36"/>
      <c r="I3189" s="37"/>
      <c r="J3189" s="37"/>
      <c r="K3189" s="38"/>
      <c r="L3189" s="38"/>
      <c r="M3189" s="38"/>
      <c r="N3189" s="36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</row>
    <row r="3190" spans="1:28" ht="33" customHeight="1" x14ac:dyDescent="0.35">
      <c r="A3190" s="24">
        <f>A3188+1</f>
        <v>1348</v>
      </c>
      <c r="B3190" s="25" t="s">
        <v>1056</v>
      </c>
      <c r="C3190" s="26" t="s">
        <v>55</v>
      </c>
      <c r="D3190" s="40" t="s">
        <v>1057</v>
      </c>
      <c r="E3190" s="41"/>
      <c r="F3190" s="53"/>
    </row>
    <row r="3191" spans="1:28" ht="34.5" hidden="1" customHeight="1" outlineLevel="1" x14ac:dyDescent="0.35">
      <c r="A3191" s="47"/>
      <c r="B3191" s="48" t="s">
        <v>1058</v>
      </c>
      <c r="C3191" s="75" t="s">
        <v>58</v>
      </c>
      <c r="D3191" s="54">
        <v>219</v>
      </c>
      <c r="E3191" s="78">
        <f>919.8</f>
        <v>919.8</v>
      </c>
      <c r="F3191" s="42"/>
    </row>
    <row r="3192" spans="1:28" ht="31" customHeight="1" collapsed="1" x14ac:dyDescent="0.35">
      <c r="A3192" s="24">
        <f t="shared" ref="A3192" si="19">A3190+1</f>
        <v>1349</v>
      </c>
      <c r="B3192" s="25" t="s">
        <v>1059</v>
      </c>
      <c r="C3192" s="26" t="s">
        <v>35</v>
      </c>
      <c r="D3192" s="40" t="s">
        <v>1060</v>
      </c>
      <c r="E3192" s="41"/>
      <c r="F3192" s="42"/>
    </row>
    <row r="3193" spans="1:28" ht="34.5" hidden="1" customHeight="1" outlineLevel="1" x14ac:dyDescent="0.35">
      <c r="A3193" s="47"/>
      <c r="B3193" s="48" t="s">
        <v>1061</v>
      </c>
      <c r="C3193" s="75" t="s">
        <v>19</v>
      </c>
      <c r="D3193" s="54">
        <f>158*1.02</f>
        <v>161.16</v>
      </c>
      <c r="E3193" s="78"/>
      <c r="F3193" s="42"/>
    </row>
    <row r="3194" spans="1:28" ht="31" customHeight="1" collapsed="1" x14ac:dyDescent="0.35">
      <c r="A3194" s="24">
        <f>A3192+1</f>
        <v>1350</v>
      </c>
      <c r="B3194" s="25" t="s">
        <v>1062</v>
      </c>
      <c r="C3194" s="26" t="s">
        <v>29</v>
      </c>
      <c r="D3194" s="73">
        <v>2628</v>
      </c>
      <c r="E3194" s="41"/>
      <c r="F3194" s="42"/>
    </row>
    <row r="3195" spans="1:28" ht="34.5" hidden="1" customHeight="1" outlineLevel="1" x14ac:dyDescent="0.35">
      <c r="A3195" s="47"/>
      <c r="B3195" s="48" t="s">
        <v>39</v>
      </c>
      <c r="C3195" s="75" t="s">
        <v>19</v>
      </c>
      <c r="D3195" s="50">
        <f>525.6</f>
        <v>525.6</v>
      </c>
      <c r="E3195" s="78"/>
      <c r="F3195" s="42"/>
    </row>
    <row r="3196" spans="1:28" ht="34.5" hidden="1" customHeight="1" outlineLevel="1" x14ac:dyDescent="0.35">
      <c r="A3196" s="47"/>
      <c r="B3196" s="48" t="s">
        <v>52</v>
      </c>
      <c r="C3196" s="75" t="s">
        <v>19</v>
      </c>
      <c r="D3196" s="75">
        <f>2628*25/1000</f>
        <v>65.7</v>
      </c>
      <c r="E3196" s="78"/>
      <c r="F3196" s="42"/>
    </row>
    <row r="3197" spans="1:28" ht="31" customHeight="1" collapsed="1" x14ac:dyDescent="0.35">
      <c r="A3197" s="24">
        <f>A3194+1</f>
        <v>1351</v>
      </c>
      <c r="B3197" s="25" t="s">
        <v>1063</v>
      </c>
      <c r="C3197" s="26" t="s">
        <v>29</v>
      </c>
      <c r="D3197" s="73">
        <v>705</v>
      </c>
      <c r="E3197" s="41"/>
      <c r="F3197" s="42"/>
    </row>
    <row r="3198" spans="1:28" ht="34.5" hidden="1" customHeight="1" outlineLevel="1" x14ac:dyDescent="0.35">
      <c r="A3198" s="47"/>
      <c r="B3198" s="48" t="s">
        <v>39</v>
      </c>
      <c r="C3198" s="75" t="s">
        <v>19</v>
      </c>
      <c r="D3198" s="50">
        <f>D3197*0.2</f>
        <v>141</v>
      </c>
      <c r="E3198" s="78"/>
      <c r="F3198" s="42"/>
    </row>
    <row r="3199" spans="1:28" ht="34.5" hidden="1" customHeight="1" outlineLevel="1" x14ac:dyDescent="0.35">
      <c r="A3199" s="47"/>
      <c r="B3199" s="48" t="s">
        <v>52</v>
      </c>
      <c r="C3199" s="75" t="s">
        <v>19</v>
      </c>
      <c r="D3199" s="50">
        <f>D3197*25/1000</f>
        <v>17.625</v>
      </c>
      <c r="E3199" s="78"/>
      <c r="F3199" s="42"/>
    </row>
    <row r="3200" spans="1:28" s="39" customFormat="1" ht="21" customHeight="1" collapsed="1" x14ac:dyDescent="0.35">
      <c r="A3200" s="160" t="s">
        <v>1064</v>
      </c>
      <c r="B3200" s="161"/>
      <c r="C3200" s="161"/>
      <c r="D3200" s="161"/>
      <c r="E3200" s="162"/>
      <c r="F3200" s="34"/>
      <c r="G3200" s="35"/>
      <c r="H3200" s="36"/>
      <c r="I3200" s="37"/>
      <c r="J3200" s="37"/>
      <c r="K3200" s="38"/>
      <c r="L3200" s="38"/>
      <c r="M3200" s="38"/>
      <c r="N3200" s="36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</row>
    <row r="3201" spans="1:28" ht="31" customHeight="1" x14ac:dyDescent="0.35">
      <c r="A3201" s="24">
        <f>A3197+1</f>
        <v>1352</v>
      </c>
      <c r="B3201" s="25" t="s">
        <v>1065</v>
      </c>
      <c r="C3201" s="26" t="s">
        <v>29</v>
      </c>
      <c r="D3201" s="73">
        <v>735</v>
      </c>
      <c r="E3201" s="41"/>
      <c r="F3201" s="42"/>
    </row>
    <row r="3202" spans="1:28" ht="31" hidden="1" customHeight="1" outlineLevel="1" x14ac:dyDescent="0.35">
      <c r="A3202" s="47"/>
      <c r="B3202" s="48" t="s">
        <v>937</v>
      </c>
      <c r="C3202" s="49" t="s">
        <v>14</v>
      </c>
      <c r="D3202" s="81">
        <f>((20*0.617)+(12*0.051))*735/1000</f>
        <v>9.5197199999999995</v>
      </c>
      <c r="E3202" s="69"/>
      <c r="F3202" s="42"/>
    </row>
    <row r="3203" spans="1:28" ht="31" hidden="1" customHeight="1" outlineLevel="1" x14ac:dyDescent="0.35">
      <c r="A3203" s="47"/>
      <c r="B3203" s="48" t="s">
        <v>1066</v>
      </c>
      <c r="C3203" s="49" t="s">
        <v>19</v>
      </c>
      <c r="D3203" s="68">
        <f>735*0.2</f>
        <v>147</v>
      </c>
      <c r="E3203" s="69"/>
      <c r="F3203" s="42"/>
    </row>
    <row r="3204" spans="1:28" s="39" customFormat="1" ht="21" customHeight="1" collapsed="1" x14ac:dyDescent="0.35">
      <c r="A3204" s="160" t="s">
        <v>1067</v>
      </c>
      <c r="B3204" s="161"/>
      <c r="C3204" s="161"/>
      <c r="D3204" s="161"/>
      <c r="E3204" s="162"/>
      <c r="F3204" s="34"/>
      <c r="G3204" s="35"/>
      <c r="H3204" s="36"/>
      <c r="I3204" s="37"/>
      <c r="J3204" s="37"/>
      <c r="K3204" s="38"/>
      <c r="L3204" s="38"/>
      <c r="M3204" s="38"/>
      <c r="N3204" s="36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</row>
    <row r="3205" spans="1:28" ht="31" customHeight="1" x14ac:dyDescent="0.35">
      <c r="A3205" s="24">
        <f>A3201+1</f>
        <v>1353</v>
      </c>
      <c r="B3205" s="25" t="s">
        <v>1062</v>
      </c>
      <c r="C3205" s="26" t="s">
        <v>29</v>
      </c>
      <c r="D3205" s="73">
        <v>1688</v>
      </c>
      <c r="E3205" s="41"/>
      <c r="F3205" s="42"/>
    </row>
    <row r="3206" spans="1:28" ht="34.5" hidden="1" customHeight="1" outlineLevel="1" x14ac:dyDescent="0.35">
      <c r="A3206" s="47"/>
      <c r="B3206" s="48" t="s">
        <v>39</v>
      </c>
      <c r="C3206" s="75" t="s">
        <v>19</v>
      </c>
      <c r="D3206" s="50">
        <f>D3205*0.2</f>
        <v>337.6</v>
      </c>
      <c r="E3206" s="78"/>
      <c r="F3206" s="42"/>
    </row>
    <row r="3207" spans="1:28" ht="34.5" hidden="1" customHeight="1" outlineLevel="1" x14ac:dyDescent="0.35">
      <c r="A3207" s="47"/>
      <c r="B3207" s="48" t="s">
        <v>52</v>
      </c>
      <c r="C3207" s="75" t="s">
        <v>19</v>
      </c>
      <c r="D3207" s="50">
        <f>D3205*25/1000</f>
        <v>42.2</v>
      </c>
      <c r="E3207" s="78"/>
      <c r="F3207" s="42"/>
    </row>
    <row r="3208" spans="1:28" s="39" customFormat="1" ht="21" customHeight="1" collapsed="1" x14ac:dyDescent="0.35">
      <c r="A3208" s="160" t="s">
        <v>1068</v>
      </c>
      <c r="B3208" s="161"/>
      <c r="C3208" s="161"/>
      <c r="D3208" s="161"/>
      <c r="E3208" s="162"/>
      <c r="F3208" s="34"/>
      <c r="G3208" s="35"/>
      <c r="H3208" s="36"/>
      <c r="I3208" s="37"/>
      <c r="J3208" s="37"/>
      <c r="K3208" s="38"/>
      <c r="L3208" s="38"/>
      <c r="M3208" s="38"/>
      <c r="N3208" s="36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</row>
    <row r="3209" spans="1:28" ht="31" customHeight="1" x14ac:dyDescent="0.35">
      <c r="A3209" s="24">
        <f>A3205+1</f>
        <v>1354</v>
      </c>
      <c r="B3209" s="25" t="s">
        <v>1069</v>
      </c>
      <c r="C3209" s="26" t="s">
        <v>29</v>
      </c>
      <c r="D3209" s="73">
        <v>26</v>
      </c>
      <c r="E3209" s="41"/>
      <c r="F3209" s="42"/>
    </row>
    <row r="3210" spans="1:28" ht="34.5" hidden="1" customHeight="1" outlineLevel="1" x14ac:dyDescent="0.35">
      <c r="A3210" s="47"/>
      <c r="B3210" s="48" t="s">
        <v>39</v>
      </c>
      <c r="C3210" s="75" t="s">
        <v>19</v>
      </c>
      <c r="D3210" s="50">
        <f>D3209*0.15</f>
        <v>3.9</v>
      </c>
      <c r="E3210" s="78"/>
      <c r="F3210" s="42"/>
    </row>
    <row r="3211" spans="1:28" ht="34.5" hidden="1" customHeight="1" outlineLevel="1" x14ac:dyDescent="0.35">
      <c r="A3211" s="47"/>
      <c r="B3211" s="48" t="s">
        <v>52</v>
      </c>
      <c r="C3211" s="75" t="s">
        <v>19</v>
      </c>
      <c r="D3211" s="50">
        <f>D3209*25/1000</f>
        <v>0.65</v>
      </c>
      <c r="E3211" s="78"/>
      <c r="F3211" s="42"/>
    </row>
    <row r="3212" spans="1:28" ht="31" customHeight="1" collapsed="1" x14ac:dyDescent="0.35">
      <c r="A3212" s="24">
        <f>A3209+1</f>
        <v>1355</v>
      </c>
      <c r="B3212" s="25" t="s">
        <v>1065</v>
      </c>
      <c r="C3212" s="26" t="s">
        <v>29</v>
      </c>
      <c r="D3212" s="73">
        <v>26</v>
      </c>
      <c r="E3212" s="41"/>
      <c r="F3212" s="42"/>
    </row>
    <row r="3213" spans="1:28" ht="31" hidden="1" customHeight="1" outlineLevel="1" x14ac:dyDescent="0.35">
      <c r="A3213" s="47"/>
      <c r="B3213" s="48" t="s">
        <v>937</v>
      </c>
      <c r="C3213" s="49" t="s">
        <v>14</v>
      </c>
      <c r="D3213" s="81">
        <f>6.52*D3212/1000</f>
        <v>0.16951999999999998</v>
      </c>
      <c r="E3213" s="69"/>
      <c r="F3213" s="42"/>
    </row>
    <row r="3214" spans="1:28" ht="31" hidden="1" customHeight="1" outlineLevel="1" x14ac:dyDescent="0.35">
      <c r="A3214" s="47"/>
      <c r="B3214" s="48" t="s">
        <v>1066</v>
      </c>
      <c r="C3214" s="49" t="s">
        <v>19</v>
      </c>
      <c r="D3214" s="68">
        <f>D3212*0.15</f>
        <v>3.9</v>
      </c>
      <c r="E3214" s="69"/>
      <c r="F3214" s="42"/>
    </row>
    <row r="3215" spans="1:28" s="39" customFormat="1" ht="21" customHeight="1" collapsed="1" x14ac:dyDescent="0.35">
      <c r="A3215" s="160" t="s">
        <v>1070</v>
      </c>
      <c r="B3215" s="161"/>
      <c r="C3215" s="161"/>
      <c r="D3215" s="161"/>
      <c r="E3215" s="162"/>
      <c r="F3215" s="34"/>
      <c r="G3215" s="35"/>
      <c r="H3215" s="36"/>
      <c r="I3215" s="37"/>
      <c r="J3215" s="37"/>
      <c r="K3215" s="38"/>
      <c r="L3215" s="38"/>
      <c r="M3215" s="38"/>
      <c r="N3215" s="36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</row>
    <row r="3216" spans="1:28" ht="31" customHeight="1" x14ac:dyDescent="0.35">
      <c r="A3216" s="24">
        <f>A3212+1</f>
        <v>1356</v>
      </c>
      <c r="B3216" s="25" t="s">
        <v>1071</v>
      </c>
      <c r="C3216" s="26" t="s">
        <v>62</v>
      </c>
      <c r="D3216" s="125" t="s">
        <v>1072</v>
      </c>
      <c r="E3216" s="41"/>
      <c r="F3216" s="42"/>
    </row>
    <row r="3217" spans="1:28" ht="31" hidden="1" customHeight="1" outlineLevel="1" x14ac:dyDescent="0.35">
      <c r="A3217" s="47"/>
      <c r="B3217" s="48" t="s">
        <v>1073</v>
      </c>
      <c r="C3217" s="49" t="s">
        <v>58</v>
      </c>
      <c r="D3217" s="55">
        <v>5</v>
      </c>
      <c r="E3217" s="69"/>
      <c r="F3217" s="42"/>
    </row>
    <row r="3218" spans="1:28" ht="31" hidden="1" customHeight="1" outlineLevel="1" x14ac:dyDescent="0.35">
      <c r="A3218" s="47"/>
      <c r="B3218" s="48" t="s">
        <v>1074</v>
      </c>
      <c r="C3218" s="49" t="s">
        <v>19</v>
      </c>
      <c r="D3218" s="68">
        <f>0.86</f>
        <v>0.86</v>
      </c>
      <c r="E3218" s="69"/>
      <c r="F3218" s="42"/>
    </row>
    <row r="3219" spans="1:28" s="58" customFormat="1" ht="30" customHeight="1" collapsed="1" x14ac:dyDescent="0.4">
      <c r="A3219" s="24">
        <f>A3216+1</f>
        <v>1357</v>
      </c>
      <c r="B3219" s="59" t="s">
        <v>1013</v>
      </c>
      <c r="C3219" s="70" t="s">
        <v>35</v>
      </c>
      <c r="D3219" s="40" t="s">
        <v>1075</v>
      </c>
      <c r="E3219" s="66"/>
      <c r="F3219" s="57"/>
    </row>
    <row r="3220" spans="1:28" s="58" customFormat="1" ht="30" hidden="1" customHeight="1" outlineLevel="1" x14ac:dyDescent="0.4">
      <c r="A3220" s="54"/>
      <c r="B3220" s="48" t="s">
        <v>740</v>
      </c>
      <c r="C3220" s="49" t="s">
        <v>19</v>
      </c>
      <c r="D3220" s="50">
        <f>0.46*1.1</f>
        <v>0.50600000000000012</v>
      </c>
      <c r="E3220" s="51"/>
      <c r="F3220" s="57"/>
    </row>
    <row r="3221" spans="1:28" ht="30" customHeight="1" collapsed="1" x14ac:dyDescent="0.35">
      <c r="A3221" s="24">
        <f>A3219+1</f>
        <v>1358</v>
      </c>
      <c r="B3221" s="25" t="s">
        <v>51</v>
      </c>
      <c r="C3221" s="26" t="s">
        <v>35</v>
      </c>
      <c r="D3221" s="40" t="s">
        <v>1075</v>
      </c>
      <c r="E3221" s="41"/>
      <c r="F3221" s="42"/>
    </row>
    <row r="3222" spans="1:28" ht="31" hidden="1" customHeight="1" outlineLevel="1" x14ac:dyDescent="0.35">
      <c r="A3222" s="47"/>
      <c r="B3222" s="48" t="s">
        <v>52</v>
      </c>
      <c r="C3222" s="49" t="s">
        <v>19</v>
      </c>
      <c r="D3222" s="50">
        <f>0.46</f>
        <v>0.46</v>
      </c>
      <c r="E3222" s="51"/>
      <c r="F3222" s="42"/>
    </row>
    <row r="3223" spans="1:28" s="39" customFormat="1" ht="21" customHeight="1" collapsed="1" x14ac:dyDescent="0.35">
      <c r="A3223" s="160" t="s">
        <v>1076</v>
      </c>
      <c r="B3223" s="161"/>
      <c r="C3223" s="161"/>
      <c r="D3223" s="161"/>
      <c r="E3223" s="162"/>
      <c r="F3223" s="34"/>
      <c r="G3223" s="35"/>
      <c r="H3223" s="36"/>
      <c r="I3223" s="37"/>
      <c r="J3223" s="37"/>
      <c r="K3223" s="38"/>
      <c r="L3223" s="38"/>
      <c r="M3223" s="38"/>
      <c r="N3223" s="36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</row>
    <row r="3224" spans="1:28" s="58" customFormat="1" ht="30" customHeight="1" x14ac:dyDescent="0.4">
      <c r="A3224" s="24">
        <f>A3221+1</f>
        <v>1359</v>
      </c>
      <c r="B3224" s="59" t="s">
        <v>1077</v>
      </c>
      <c r="C3224" s="70" t="s">
        <v>132</v>
      </c>
      <c r="D3224" s="40">
        <f>187.12+94.62+14.58+12.68+103.79+5.85+12.68+2.5+1+2.25+10.11+0.6+2.45+5.7+0.7+2.45+2.45+3.91+5+0.62+1+1.09+2.29+3.76</f>
        <v>479.20000000000005</v>
      </c>
      <c r="E3224" s="66"/>
      <c r="F3224" s="57"/>
    </row>
    <row r="3225" spans="1:28" ht="30" customHeight="1" x14ac:dyDescent="0.35">
      <c r="A3225" s="24">
        <f>A3224+1</f>
        <v>1360</v>
      </c>
      <c r="B3225" s="25" t="s">
        <v>952</v>
      </c>
      <c r="C3225" s="26" t="s">
        <v>29</v>
      </c>
      <c r="D3225" s="67">
        <v>1189</v>
      </c>
      <c r="E3225" s="41"/>
      <c r="F3225" s="42"/>
    </row>
    <row r="3226" spans="1:28" ht="31" hidden="1" customHeight="1" outlineLevel="1" x14ac:dyDescent="0.35">
      <c r="A3226" s="47"/>
      <c r="B3226" s="48" t="s">
        <v>39</v>
      </c>
      <c r="C3226" s="49" t="s">
        <v>19</v>
      </c>
      <c r="D3226" s="50">
        <f>5.1*D3225/100</f>
        <v>60.638999999999996</v>
      </c>
      <c r="E3226" s="51"/>
      <c r="F3226" s="42"/>
    </row>
    <row r="3227" spans="1:28" s="39" customFormat="1" ht="21" customHeight="1" collapsed="1" x14ac:dyDescent="0.35">
      <c r="A3227" s="158" t="s">
        <v>1078</v>
      </c>
      <c r="B3227" s="158"/>
      <c r="C3227" s="158"/>
      <c r="D3227" s="158"/>
      <c r="E3227" s="158"/>
      <c r="F3227" s="34"/>
      <c r="G3227" s="35"/>
      <c r="H3227" s="36"/>
      <c r="I3227" s="37"/>
      <c r="J3227" s="37"/>
      <c r="K3227" s="38"/>
      <c r="L3227" s="38"/>
      <c r="M3227" s="38"/>
      <c r="N3227" s="36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</row>
    <row r="3228" spans="1:28" s="39" customFormat="1" ht="21" customHeight="1" x14ac:dyDescent="0.35">
      <c r="A3228" s="160" t="s">
        <v>1079</v>
      </c>
      <c r="B3228" s="161"/>
      <c r="C3228" s="161"/>
      <c r="D3228" s="161"/>
      <c r="E3228" s="162"/>
      <c r="F3228" s="34"/>
      <c r="G3228" s="35"/>
      <c r="H3228" s="36"/>
      <c r="I3228" s="37"/>
      <c r="J3228" s="37"/>
      <c r="K3228" s="38"/>
      <c r="L3228" s="38"/>
      <c r="M3228" s="38"/>
      <c r="N3228" s="36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</row>
    <row r="3229" spans="1:28" s="58" customFormat="1" ht="30" customHeight="1" x14ac:dyDescent="0.4">
      <c r="A3229" s="24">
        <f>A3225+1</f>
        <v>1361</v>
      </c>
      <c r="B3229" s="59" t="s">
        <v>1080</v>
      </c>
      <c r="C3229" s="70" t="s">
        <v>67</v>
      </c>
      <c r="D3229" s="40" t="s">
        <v>1081</v>
      </c>
      <c r="E3229" s="66"/>
      <c r="F3229" s="57"/>
    </row>
    <row r="3230" spans="1:28" s="58" customFormat="1" ht="30" hidden="1" customHeight="1" outlineLevel="1" x14ac:dyDescent="0.4">
      <c r="A3230" s="54"/>
      <c r="B3230" s="48" t="s">
        <v>1082</v>
      </c>
      <c r="C3230" s="49" t="s">
        <v>58</v>
      </c>
      <c r="D3230" s="54">
        <v>6</v>
      </c>
      <c r="E3230" s="51"/>
      <c r="F3230" s="57"/>
    </row>
    <row r="3231" spans="1:28" s="58" customFormat="1" ht="30" hidden="1" customHeight="1" outlineLevel="1" x14ac:dyDescent="0.4">
      <c r="A3231" s="54"/>
      <c r="B3231" s="48" t="s">
        <v>1083</v>
      </c>
      <c r="C3231" s="49" t="s">
        <v>58</v>
      </c>
      <c r="D3231" s="55">
        <v>1</v>
      </c>
      <c r="E3231" s="51"/>
      <c r="F3231" s="57"/>
    </row>
    <row r="3232" spans="1:28" s="58" customFormat="1" ht="30" hidden="1" customHeight="1" outlineLevel="1" x14ac:dyDescent="0.4">
      <c r="A3232" s="54"/>
      <c r="B3232" s="48" t="s">
        <v>1084</v>
      </c>
      <c r="C3232" s="49" t="s">
        <v>58</v>
      </c>
      <c r="D3232" s="55">
        <v>1</v>
      </c>
      <c r="E3232" s="51"/>
      <c r="F3232" s="57"/>
    </row>
    <row r="3233" spans="1:28" s="58" customFormat="1" ht="30" hidden="1" customHeight="1" outlineLevel="1" x14ac:dyDescent="0.4">
      <c r="A3233" s="54"/>
      <c r="B3233" s="48" t="s">
        <v>1085</v>
      </c>
      <c r="C3233" s="49" t="s">
        <v>58</v>
      </c>
      <c r="D3233" s="55">
        <v>1</v>
      </c>
      <c r="E3233" s="51"/>
      <c r="F3233" s="57"/>
    </row>
    <row r="3234" spans="1:28" s="58" customFormat="1" ht="30" hidden="1" customHeight="1" outlineLevel="1" x14ac:dyDescent="0.4">
      <c r="A3234" s="54"/>
      <c r="B3234" s="48" t="s">
        <v>1086</v>
      </c>
      <c r="C3234" s="49" t="s">
        <v>58</v>
      </c>
      <c r="D3234" s="55">
        <v>1</v>
      </c>
      <c r="E3234" s="51"/>
      <c r="F3234" s="57"/>
    </row>
    <row r="3235" spans="1:28" s="58" customFormat="1" ht="30" hidden="1" customHeight="1" outlineLevel="1" x14ac:dyDescent="0.4">
      <c r="A3235" s="54"/>
      <c r="B3235" s="48" t="s">
        <v>1087</v>
      </c>
      <c r="C3235" s="49" t="s">
        <v>58</v>
      </c>
      <c r="D3235" s="55">
        <v>6</v>
      </c>
      <c r="E3235" s="51"/>
      <c r="F3235" s="57"/>
    </row>
    <row r="3236" spans="1:28" s="58" customFormat="1" ht="30" hidden="1" customHeight="1" outlineLevel="1" x14ac:dyDescent="0.4">
      <c r="A3236" s="54"/>
      <c r="B3236" s="48" t="s">
        <v>1088</v>
      </c>
      <c r="C3236" s="49" t="s">
        <v>58</v>
      </c>
      <c r="D3236" s="55">
        <v>1</v>
      </c>
      <c r="E3236" s="51"/>
      <c r="F3236" s="57"/>
    </row>
    <row r="3237" spans="1:28" s="58" customFormat="1" ht="30" hidden="1" customHeight="1" outlineLevel="1" x14ac:dyDescent="0.4">
      <c r="A3237" s="54"/>
      <c r="B3237" s="48" t="s">
        <v>1074</v>
      </c>
      <c r="C3237" s="49" t="s">
        <v>19</v>
      </c>
      <c r="D3237" s="55">
        <f>4.2</f>
        <v>4.2</v>
      </c>
      <c r="E3237" s="51"/>
      <c r="F3237" s="57"/>
    </row>
    <row r="3238" spans="1:28" s="58" customFormat="1" ht="30" customHeight="1" collapsed="1" x14ac:dyDescent="0.4">
      <c r="A3238" s="24">
        <f>A3229+1</f>
        <v>1362</v>
      </c>
      <c r="B3238" s="59" t="s">
        <v>1089</v>
      </c>
      <c r="C3238" s="26" t="s">
        <v>58</v>
      </c>
      <c r="D3238" s="40">
        <v>7</v>
      </c>
      <c r="E3238" s="66"/>
      <c r="F3238" s="57"/>
    </row>
    <row r="3239" spans="1:28" s="58" customFormat="1" ht="30" hidden="1" customHeight="1" outlineLevel="1" x14ac:dyDescent="0.4">
      <c r="A3239" s="54"/>
      <c r="B3239" s="48" t="s">
        <v>1090</v>
      </c>
      <c r="C3239" s="49" t="s">
        <v>58</v>
      </c>
      <c r="D3239" s="55">
        <v>7</v>
      </c>
      <c r="E3239" s="51"/>
      <c r="F3239" s="57"/>
    </row>
    <row r="3240" spans="1:28" s="33" customFormat="1" ht="31" customHeight="1" collapsed="1" x14ac:dyDescent="0.35">
      <c r="A3240" s="24">
        <f>A3238+1</f>
        <v>1363</v>
      </c>
      <c r="B3240" s="25" t="s">
        <v>1017</v>
      </c>
      <c r="C3240" s="26" t="s">
        <v>19</v>
      </c>
      <c r="D3240" s="26">
        <v>10.119999999999999</v>
      </c>
      <c r="E3240" s="28"/>
      <c r="F3240" s="29"/>
      <c r="G3240" s="30"/>
      <c r="H3240" s="31"/>
      <c r="I3240" s="30"/>
      <c r="J3240" s="30"/>
      <c r="K3240" s="32"/>
      <c r="L3240" s="32"/>
      <c r="M3240" s="32"/>
      <c r="N3240" s="31"/>
      <c r="O3240" s="32"/>
      <c r="P3240" s="32"/>
      <c r="Q3240" s="32"/>
      <c r="R3240" s="32"/>
      <c r="S3240" s="32"/>
      <c r="T3240" s="32"/>
      <c r="U3240" s="32"/>
      <c r="V3240" s="32"/>
      <c r="W3240" s="32"/>
      <c r="X3240" s="32"/>
      <c r="Y3240" s="32"/>
      <c r="Z3240" s="32"/>
      <c r="AA3240" s="32"/>
      <c r="AB3240" s="32"/>
    </row>
    <row r="3241" spans="1:28" s="33" customFormat="1" ht="31" customHeight="1" x14ac:dyDescent="0.35">
      <c r="A3241" s="24">
        <f t="shared" ref="A3241:A3244" si="20">A3240+1</f>
        <v>1364</v>
      </c>
      <c r="B3241" s="25" t="s">
        <v>1091</v>
      </c>
      <c r="C3241" s="26" t="s">
        <v>14</v>
      </c>
      <c r="D3241" s="26">
        <v>17.7</v>
      </c>
      <c r="E3241" s="28"/>
      <c r="F3241" s="29"/>
      <c r="G3241" s="30"/>
      <c r="H3241" s="31"/>
      <c r="I3241" s="30"/>
      <c r="J3241" s="30"/>
      <c r="K3241" s="32"/>
      <c r="L3241" s="32"/>
      <c r="M3241" s="32"/>
      <c r="N3241" s="31"/>
      <c r="O3241" s="32"/>
      <c r="P3241" s="32"/>
      <c r="Q3241" s="32"/>
      <c r="R3241" s="32"/>
      <c r="S3241" s="32"/>
      <c r="T3241" s="32"/>
      <c r="U3241" s="32"/>
      <c r="V3241" s="32"/>
      <c r="W3241" s="32"/>
      <c r="X3241" s="32"/>
      <c r="Y3241" s="32"/>
      <c r="Z3241" s="32"/>
      <c r="AA3241" s="32"/>
      <c r="AB3241" s="32"/>
    </row>
    <row r="3242" spans="1:28" s="33" customFormat="1" ht="31" customHeight="1" x14ac:dyDescent="0.35">
      <c r="A3242" s="24">
        <f t="shared" si="20"/>
        <v>1365</v>
      </c>
      <c r="B3242" s="25" t="s">
        <v>31</v>
      </c>
      <c r="C3242" s="26" t="s">
        <v>19</v>
      </c>
      <c r="D3242" s="26">
        <v>10.119999999999999</v>
      </c>
      <c r="E3242" s="28"/>
      <c r="F3242" s="29"/>
      <c r="G3242" s="30"/>
      <c r="H3242" s="31"/>
      <c r="I3242" s="30"/>
      <c r="J3242" s="30"/>
      <c r="K3242" s="32"/>
      <c r="L3242" s="32"/>
      <c r="M3242" s="32"/>
      <c r="N3242" s="31"/>
      <c r="O3242" s="32"/>
      <c r="P3242" s="32"/>
      <c r="Q3242" s="32"/>
      <c r="R3242" s="32"/>
      <c r="S3242" s="32"/>
      <c r="T3242" s="32"/>
      <c r="U3242" s="32"/>
      <c r="V3242" s="32"/>
      <c r="W3242" s="32"/>
      <c r="X3242" s="32"/>
      <c r="Y3242" s="32"/>
      <c r="Z3242" s="32"/>
      <c r="AA3242" s="32"/>
      <c r="AB3242" s="32"/>
    </row>
    <row r="3243" spans="1:28" s="33" customFormat="1" ht="31" customHeight="1" x14ac:dyDescent="0.35">
      <c r="A3243" s="24">
        <f t="shared" si="20"/>
        <v>1366</v>
      </c>
      <c r="B3243" s="25" t="s">
        <v>1092</v>
      </c>
      <c r="C3243" s="26" t="s">
        <v>19</v>
      </c>
      <c r="D3243" s="26">
        <v>10.119999999999999</v>
      </c>
      <c r="E3243" s="28"/>
      <c r="F3243" s="29"/>
      <c r="G3243" s="30"/>
      <c r="H3243" s="31"/>
      <c r="I3243" s="30"/>
      <c r="J3243" s="30"/>
      <c r="K3243" s="32"/>
      <c r="L3243" s="32"/>
      <c r="M3243" s="32"/>
      <c r="N3243" s="31"/>
      <c r="O3243" s="32"/>
      <c r="P3243" s="32"/>
      <c r="Q3243" s="32"/>
      <c r="R3243" s="32"/>
      <c r="S3243" s="32"/>
      <c r="T3243" s="32"/>
      <c r="U3243" s="32"/>
      <c r="V3243" s="32"/>
      <c r="W3243" s="32"/>
      <c r="X3243" s="32"/>
      <c r="Y3243" s="32"/>
      <c r="Z3243" s="32"/>
      <c r="AA3243" s="32"/>
      <c r="AB3243" s="32"/>
    </row>
    <row r="3244" spans="1:28" ht="30" customHeight="1" x14ac:dyDescent="0.35">
      <c r="A3244" s="24">
        <f t="shared" si="20"/>
        <v>1367</v>
      </c>
      <c r="B3244" s="25" t="s">
        <v>51</v>
      </c>
      <c r="C3244" s="26" t="s">
        <v>35</v>
      </c>
      <c r="D3244" s="40" t="s">
        <v>1093</v>
      </c>
      <c r="E3244" s="41"/>
      <c r="F3244" s="42"/>
    </row>
    <row r="3245" spans="1:28" ht="31" hidden="1" customHeight="1" outlineLevel="1" x14ac:dyDescent="0.35">
      <c r="A3245" s="47"/>
      <c r="B3245" s="48" t="s">
        <v>52</v>
      </c>
      <c r="C3245" s="49" t="s">
        <v>19</v>
      </c>
      <c r="D3245" s="50">
        <f>2.16</f>
        <v>2.16</v>
      </c>
      <c r="E3245" s="51"/>
      <c r="F3245" s="42"/>
    </row>
    <row r="3246" spans="1:28" s="58" customFormat="1" ht="30" customHeight="1" collapsed="1" x14ac:dyDescent="0.4">
      <c r="A3246" s="24">
        <f>A3244+1</f>
        <v>1368</v>
      </c>
      <c r="B3246" s="59" t="s">
        <v>1094</v>
      </c>
      <c r="C3246" s="70" t="s">
        <v>29</v>
      </c>
      <c r="D3246" s="40">
        <v>41.45</v>
      </c>
      <c r="E3246" s="66"/>
      <c r="F3246" s="57"/>
    </row>
    <row r="3247" spans="1:28" s="39" customFormat="1" ht="36" customHeight="1" x14ac:dyDescent="0.35">
      <c r="A3247" s="24">
        <f t="shared" ref="A3247" si="21">A3246+1</f>
        <v>1369</v>
      </c>
      <c r="B3247" s="25" t="s">
        <v>1095</v>
      </c>
      <c r="C3247" s="26" t="s">
        <v>29</v>
      </c>
      <c r="D3247" s="40">
        <v>41.45</v>
      </c>
      <c r="E3247" s="64"/>
      <c r="F3247" s="34"/>
      <c r="G3247" s="35"/>
      <c r="H3247" s="36"/>
      <c r="I3247" s="37"/>
      <c r="J3247" s="37"/>
      <c r="K3247" s="38"/>
      <c r="L3247" s="38"/>
      <c r="M3247" s="38"/>
      <c r="N3247" s="36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</row>
    <row r="3248" spans="1:28" s="58" customFormat="1" ht="30" hidden="1" customHeight="1" outlineLevel="1" x14ac:dyDescent="0.4">
      <c r="A3248" s="54"/>
      <c r="B3248" s="48" t="s">
        <v>1096</v>
      </c>
      <c r="C3248" s="49" t="s">
        <v>74</v>
      </c>
      <c r="D3248" s="55">
        <v>2</v>
      </c>
      <c r="E3248" s="51"/>
      <c r="F3248" s="57"/>
    </row>
    <row r="3249" spans="1:28" s="39" customFormat="1" ht="30" customHeight="1" collapsed="1" x14ac:dyDescent="0.35">
      <c r="A3249" s="153" t="s">
        <v>1097</v>
      </c>
      <c r="B3249" s="153"/>
      <c r="C3249" s="153"/>
      <c r="D3249" s="153"/>
      <c r="E3249" s="153"/>
      <c r="F3249" s="34"/>
      <c r="G3249" s="35"/>
      <c r="H3249" s="36"/>
      <c r="I3249" s="37"/>
      <c r="J3249" s="37"/>
      <c r="K3249" s="38"/>
      <c r="L3249" s="38"/>
      <c r="M3249" s="38"/>
      <c r="N3249" s="36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</row>
    <row r="3250" spans="1:28" s="39" customFormat="1" ht="21" customHeight="1" x14ac:dyDescent="0.35">
      <c r="A3250" s="158" t="s">
        <v>1098</v>
      </c>
      <c r="B3250" s="158"/>
      <c r="C3250" s="158"/>
      <c r="D3250" s="158"/>
      <c r="E3250" s="158"/>
      <c r="F3250" s="34"/>
      <c r="G3250" s="35"/>
      <c r="H3250" s="36"/>
      <c r="I3250" s="37"/>
      <c r="J3250" s="37"/>
      <c r="K3250" s="38"/>
      <c r="L3250" s="38"/>
      <c r="M3250" s="38"/>
      <c r="N3250" s="36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</row>
    <row r="3251" spans="1:28" s="58" customFormat="1" ht="30" customHeight="1" x14ac:dyDescent="0.4">
      <c r="A3251" s="24">
        <f>A3247+1</f>
        <v>1370</v>
      </c>
      <c r="B3251" s="59" t="s">
        <v>1099</v>
      </c>
      <c r="C3251" s="70" t="s">
        <v>14</v>
      </c>
      <c r="D3251" s="27">
        <v>32.636000000000003</v>
      </c>
      <c r="E3251" s="66"/>
      <c r="F3251" s="57"/>
      <c r="G3251" s="58">
        <v>32</v>
      </c>
    </row>
    <row r="3252" spans="1:28" s="58" customFormat="1" ht="30" hidden="1" customHeight="1" outlineLevel="1" x14ac:dyDescent="0.4">
      <c r="A3252" s="54"/>
      <c r="B3252" s="48" t="s">
        <v>219</v>
      </c>
      <c r="C3252" s="49" t="s">
        <v>14</v>
      </c>
      <c r="D3252" s="65">
        <f>327*39.51/1000</f>
        <v>12.919769999999998</v>
      </c>
      <c r="E3252" s="51"/>
      <c r="F3252" s="57"/>
      <c r="G3252" s="58">
        <v>50</v>
      </c>
    </row>
    <row r="3253" spans="1:28" s="58" customFormat="1" ht="30" hidden="1" customHeight="1" outlineLevel="1" x14ac:dyDescent="0.4">
      <c r="A3253" s="54"/>
      <c r="B3253" s="48" t="s">
        <v>69</v>
      </c>
      <c r="C3253" s="49" t="s">
        <v>14</v>
      </c>
      <c r="D3253" s="65">
        <f>220*13.44/1000</f>
        <v>2.9567999999999999</v>
      </c>
      <c r="E3253" s="51"/>
      <c r="F3253" s="57"/>
      <c r="G3253" s="58">
        <v>50</v>
      </c>
    </row>
    <row r="3254" spans="1:28" s="58" customFormat="1" ht="30" hidden="1" customHeight="1" outlineLevel="1" x14ac:dyDescent="0.4">
      <c r="A3254" s="54"/>
      <c r="B3254" s="48" t="s">
        <v>1100</v>
      </c>
      <c r="C3254" s="49" t="s">
        <v>14</v>
      </c>
      <c r="D3254" s="65">
        <f>51*39.51/1000</f>
        <v>2.0150100000000002</v>
      </c>
      <c r="E3254" s="51"/>
      <c r="F3254" s="57"/>
      <c r="G3254" s="58">
        <v>50</v>
      </c>
    </row>
    <row r="3255" spans="1:28" s="58" customFormat="1" ht="30" hidden="1" customHeight="1" outlineLevel="1" x14ac:dyDescent="0.4">
      <c r="A3255" s="54"/>
      <c r="B3255" s="48" t="s">
        <v>1101</v>
      </c>
      <c r="C3255" s="49" t="s">
        <v>14</v>
      </c>
      <c r="D3255" s="65">
        <f>233*15.8/1000</f>
        <v>3.6814</v>
      </c>
      <c r="E3255" s="51"/>
      <c r="F3255" s="57"/>
      <c r="G3255" s="58">
        <v>2</v>
      </c>
    </row>
    <row r="3256" spans="1:28" s="58" customFormat="1" ht="30" hidden="1" customHeight="1" outlineLevel="1" x14ac:dyDescent="0.4">
      <c r="A3256" s="54"/>
      <c r="B3256" s="48" t="s">
        <v>1102</v>
      </c>
      <c r="C3256" s="49" t="s">
        <v>14</v>
      </c>
      <c r="D3256" s="65">
        <f>84*18.4/1000</f>
        <v>1.5455999999999999</v>
      </c>
      <c r="E3256" s="51"/>
      <c r="F3256" s="57"/>
    </row>
    <row r="3257" spans="1:28" s="58" customFormat="1" ht="30" hidden="1" customHeight="1" outlineLevel="1" x14ac:dyDescent="0.4">
      <c r="A3257" s="54"/>
      <c r="B3257" s="48" t="s">
        <v>1103</v>
      </c>
      <c r="C3257" s="49" t="s">
        <v>14</v>
      </c>
      <c r="D3257" s="65">
        <f>42*12.3/1000</f>
        <v>0.51660000000000006</v>
      </c>
      <c r="E3257" s="51"/>
      <c r="F3257" s="57"/>
    </row>
    <row r="3258" spans="1:28" s="58" customFormat="1" ht="30" hidden="1" customHeight="1" outlineLevel="1" x14ac:dyDescent="0.4">
      <c r="A3258" s="54"/>
      <c r="B3258" s="48" t="s">
        <v>70</v>
      </c>
      <c r="C3258" s="49" t="s">
        <v>14</v>
      </c>
      <c r="D3258" s="65">
        <f>62.2*78.5/1000</f>
        <v>4.8826999999999998</v>
      </c>
      <c r="E3258" s="51"/>
      <c r="F3258" s="57"/>
    </row>
    <row r="3259" spans="1:28" s="58" customFormat="1" ht="30" hidden="1" customHeight="1" outlineLevel="1" x14ac:dyDescent="0.4">
      <c r="A3259" s="54"/>
      <c r="B3259" s="48" t="s">
        <v>220</v>
      </c>
      <c r="C3259" s="49" t="s">
        <v>14</v>
      </c>
      <c r="D3259" s="65">
        <f>14.1*47.1/1000</f>
        <v>0.66410999999999998</v>
      </c>
      <c r="E3259" s="51"/>
      <c r="F3259" s="57"/>
    </row>
    <row r="3260" spans="1:28" s="58" customFormat="1" ht="30" hidden="1" customHeight="1" outlineLevel="1" x14ac:dyDescent="0.4">
      <c r="A3260" s="54"/>
      <c r="B3260" s="48" t="s">
        <v>1104</v>
      </c>
      <c r="C3260" s="49" t="s">
        <v>14</v>
      </c>
      <c r="D3260" s="65">
        <f>22*157/1000</f>
        <v>3.4540000000000002</v>
      </c>
      <c r="E3260" s="51"/>
      <c r="F3260" s="57"/>
    </row>
    <row r="3261" spans="1:28" s="58" customFormat="1" ht="30" customHeight="1" collapsed="1" x14ac:dyDescent="0.4">
      <c r="A3261" s="24">
        <f>A3251+1</f>
        <v>1371</v>
      </c>
      <c r="B3261" s="119" t="s">
        <v>1105</v>
      </c>
      <c r="C3261" s="120" t="s">
        <v>14</v>
      </c>
      <c r="D3261" s="122">
        <v>20.509</v>
      </c>
      <c r="E3261" s="66"/>
      <c r="F3261" s="57"/>
    </row>
    <row r="3262" spans="1:28" s="58" customFormat="1" ht="30" hidden="1" customHeight="1" outlineLevel="1" x14ac:dyDescent="0.4">
      <c r="A3262" s="54"/>
      <c r="B3262" s="48" t="s">
        <v>1106</v>
      </c>
      <c r="C3262" s="49" t="s">
        <v>14</v>
      </c>
      <c r="D3262" s="65">
        <f>110*14.2/1000</f>
        <v>1.5620000000000001</v>
      </c>
      <c r="E3262" s="51"/>
      <c r="F3262" s="57"/>
    </row>
    <row r="3263" spans="1:28" ht="30" hidden="1" customHeight="1" outlineLevel="1" x14ac:dyDescent="0.35">
      <c r="A3263" s="47"/>
      <c r="B3263" s="48" t="s">
        <v>1107</v>
      </c>
      <c r="C3263" s="49" t="s">
        <v>14</v>
      </c>
      <c r="D3263" s="65">
        <f>812*21/1000</f>
        <v>17.052</v>
      </c>
      <c r="E3263" s="78"/>
      <c r="F3263" s="42"/>
    </row>
    <row r="3264" spans="1:28" ht="30" hidden="1" customHeight="1" outlineLevel="1" x14ac:dyDescent="0.35">
      <c r="A3264" s="47"/>
      <c r="B3264" s="48" t="s">
        <v>1108</v>
      </c>
      <c r="C3264" s="49" t="s">
        <v>14</v>
      </c>
      <c r="D3264" s="65">
        <f>68.4*27.7/1000</f>
        <v>1.8946800000000001</v>
      </c>
      <c r="E3264" s="78"/>
      <c r="F3264" s="42"/>
    </row>
    <row r="3265" spans="1:28" ht="36" customHeight="1" collapsed="1" x14ac:dyDescent="0.35">
      <c r="A3265" s="24">
        <f>A3261+1</f>
        <v>1372</v>
      </c>
      <c r="B3265" s="59" t="s">
        <v>72</v>
      </c>
      <c r="C3265" s="26" t="s">
        <v>29</v>
      </c>
      <c r="D3265" s="67">
        <f>((0.219*3.14*327)+(0.114*3.14*220)+(0.273*3.14*51)+(62.2*2)+(14.1*2)+(22*2)+(0.634*233)+(0.672*84)+(0.484*42)+(0.12*4*40))</f>
        <v>787.63224000000002</v>
      </c>
      <c r="E3265" s="41"/>
      <c r="F3265" s="42"/>
    </row>
    <row r="3266" spans="1:28" s="58" customFormat="1" ht="30" hidden="1" customHeight="1" outlineLevel="1" x14ac:dyDescent="0.4">
      <c r="A3266" s="54"/>
      <c r="B3266" s="48" t="s">
        <v>73</v>
      </c>
      <c r="C3266" s="49" t="s">
        <v>74</v>
      </c>
      <c r="D3266" s="68">
        <f>3.31*D3265</f>
        <v>2607.0627144</v>
      </c>
      <c r="E3266" s="69">
        <v>2.6070000000000002</v>
      </c>
      <c r="F3266" s="57"/>
    </row>
    <row r="3267" spans="1:28" ht="36" customHeight="1" collapsed="1" x14ac:dyDescent="0.35">
      <c r="A3267" s="24">
        <f>A3265+1</f>
        <v>1373</v>
      </c>
      <c r="B3267" s="59" t="s">
        <v>75</v>
      </c>
      <c r="C3267" s="26" t="s">
        <v>29</v>
      </c>
      <c r="D3267" s="67">
        <f>((0.219*3.14*327)+(0.114*3.14*220)+(0.273*3.14*51)+(62.2*2)+(14.1*2)+(22*2)+(0.634*233)+(0.672*84)+(0.484*42)+(0.12*4*40))</f>
        <v>787.63224000000002</v>
      </c>
      <c r="E3267" s="41"/>
      <c r="F3267" s="42"/>
    </row>
    <row r="3268" spans="1:28" ht="30" customHeight="1" x14ac:dyDescent="0.35">
      <c r="A3268" s="24">
        <f>A3267+1</f>
        <v>1374</v>
      </c>
      <c r="B3268" s="59" t="s">
        <v>76</v>
      </c>
      <c r="C3268" s="26" t="s">
        <v>29</v>
      </c>
      <c r="D3268" s="67">
        <f>((0.219*3.14*327)+(0.114*3.14*220)+(0.273*3.14*51)+(62.2*2)+(14.1*2)+(22*2)+(0.634*233)+(0.672*84)+(0.484*42)+(0.12*4*40))</f>
        <v>787.63224000000002</v>
      </c>
      <c r="E3268" s="41"/>
      <c r="F3268" s="42"/>
    </row>
    <row r="3269" spans="1:28" s="58" customFormat="1" ht="30" customHeight="1" x14ac:dyDescent="0.4">
      <c r="A3269" s="24">
        <f>A3268+1</f>
        <v>1375</v>
      </c>
      <c r="B3269" s="59" t="s">
        <v>77</v>
      </c>
      <c r="C3269" s="70" t="s">
        <v>29</v>
      </c>
      <c r="D3269" s="67">
        <f>((0.219*3.14*327)+(0.114*3.14*220)+(0.273*3.14*51)+(62.2*2)+(14.1*2)+(22*2)+(0.634*233)+(0.672*84)+(0.484*42)+(0.12*4*40))</f>
        <v>787.63224000000002</v>
      </c>
      <c r="E3269" s="66"/>
      <c r="F3269" s="57"/>
    </row>
    <row r="3270" spans="1:28" s="58" customFormat="1" ht="30" hidden="1" customHeight="1" outlineLevel="1" x14ac:dyDescent="0.4">
      <c r="A3270" s="54"/>
      <c r="B3270" s="48" t="s">
        <v>78</v>
      </c>
      <c r="C3270" s="49" t="s">
        <v>74</v>
      </c>
      <c r="D3270" s="68">
        <f>D3269*0.255</f>
        <v>200.8462212</v>
      </c>
      <c r="E3270" s="69">
        <v>0.20100000000000001</v>
      </c>
      <c r="F3270" s="57"/>
    </row>
    <row r="3271" spans="1:28" s="58" customFormat="1" ht="30" customHeight="1" collapsed="1" x14ac:dyDescent="0.4">
      <c r="A3271" s="24">
        <f>A3269+1</f>
        <v>1376</v>
      </c>
      <c r="B3271" s="59" t="s">
        <v>79</v>
      </c>
      <c r="C3271" s="70" t="s">
        <v>29</v>
      </c>
      <c r="D3271" s="67">
        <f>((0.219*3.14*327)+(0.114*3.14*220)+(0.273*3.14*51)+(62.2*2)+(14.1*2)+(22*2)+(0.634*233)+(0.672*84)+(0.484*42)+(0.12*4*40))</f>
        <v>787.63224000000002</v>
      </c>
      <c r="E3271" s="66"/>
      <c r="F3271" s="57"/>
    </row>
    <row r="3272" spans="1:28" s="58" customFormat="1" ht="30" hidden="1" customHeight="1" outlineLevel="1" x14ac:dyDescent="0.4">
      <c r="A3272" s="54"/>
      <c r="B3272" s="48" t="s">
        <v>80</v>
      </c>
      <c r="C3272" s="49" t="s">
        <v>74</v>
      </c>
      <c r="D3272" s="68">
        <f>D3271*0.36*2</f>
        <v>567.09521280000001</v>
      </c>
      <c r="E3272" s="69">
        <v>0.56699999999999995</v>
      </c>
      <c r="F3272" s="57"/>
    </row>
    <row r="3273" spans="1:28" ht="36" customHeight="1" collapsed="1" x14ac:dyDescent="0.35">
      <c r="A3273" s="24">
        <f>A3271+1</f>
        <v>1377</v>
      </c>
      <c r="B3273" s="59" t="s">
        <v>1109</v>
      </c>
      <c r="C3273" s="60" t="s">
        <v>62</v>
      </c>
      <c r="D3273" s="61" t="s">
        <v>1110</v>
      </c>
      <c r="E3273" s="41"/>
      <c r="F3273" s="42"/>
    </row>
    <row r="3274" spans="1:28" ht="33" customHeight="1" x14ac:dyDescent="0.35">
      <c r="A3274" s="24">
        <f>A3273+1</f>
        <v>1378</v>
      </c>
      <c r="B3274" s="25" t="s">
        <v>64</v>
      </c>
      <c r="C3274" s="26" t="s">
        <v>19</v>
      </c>
      <c r="D3274" s="67">
        <v>0.4</v>
      </c>
      <c r="E3274" s="41"/>
      <c r="F3274" s="53"/>
    </row>
    <row r="3275" spans="1:28" s="58" customFormat="1" ht="30" hidden="1" customHeight="1" outlineLevel="1" x14ac:dyDescent="0.4">
      <c r="A3275" s="54"/>
      <c r="B3275" s="48" t="s">
        <v>65</v>
      </c>
      <c r="C3275" s="49" t="s">
        <v>19</v>
      </c>
      <c r="D3275" s="75">
        <v>0.4</v>
      </c>
      <c r="E3275" s="51"/>
      <c r="F3275" s="57"/>
    </row>
    <row r="3276" spans="1:28" s="58" customFormat="1" ht="30" customHeight="1" collapsed="1" x14ac:dyDescent="0.4">
      <c r="A3276" s="24">
        <f>A3274+1</f>
        <v>1379</v>
      </c>
      <c r="B3276" s="83" t="s">
        <v>668</v>
      </c>
      <c r="C3276" s="84" t="s">
        <v>19</v>
      </c>
      <c r="D3276" s="85">
        <v>1.6</v>
      </c>
      <c r="E3276" s="66"/>
      <c r="F3276" s="57"/>
    </row>
    <row r="3277" spans="1:28" ht="31" customHeight="1" x14ac:dyDescent="0.35">
      <c r="A3277" s="24">
        <f>A3276+1</f>
        <v>1380</v>
      </c>
      <c r="B3277" s="25" t="s">
        <v>606</v>
      </c>
      <c r="C3277" s="89" t="s">
        <v>29</v>
      </c>
      <c r="D3277" s="26">
        <v>32</v>
      </c>
      <c r="E3277" s="41"/>
      <c r="F3277" s="42"/>
    </row>
    <row r="3278" spans="1:28" s="39" customFormat="1" ht="21" customHeight="1" x14ac:dyDescent="0.35">
      <c r="A3278" s="158" t="s">
        <v>1111</v>
      </c>
      <c r="B3278" s="158"/>
      <c r="C3278" s="158"/>
      <c r="D3278" s="158"/>
      <c r="E3278" s="158"/>
      <c r="F3278" s="34"/>
      <c r="G3278" s="35"/>
      <c r="H3278" s="36"/>
      <c r="I3278" s="37"/>
      <c r="J3278" s="37"/>
      <c r="K3278" s="38"/>
      <c r="L3278" s="38"/>
      <c r="M3278" s="38"/>
      <c r="N3278" s="36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</row>
    <row r="3279" spans="1:28" s="39" customFormat="1" ht="21" customHeight="1" x14ac:dyDescent="0.35">
      <c r="A3279" s="160" t="s">
        <v>809</v>
      </c>
      <c r="B3279" s="161"/>
      <c r="C3279" s="161"/>
      <c r="D3279" s="161"/>
      <c r="E3279" s="162"/>
      <c r="F3279" s="34"/>
      <c r="G3279" s="35"/>
      <c r="H3279" s="36"/>
      <c r="I3279" s="37"/>
      <c r="J3279" s="37"/>
      <c r="K3279" s="38"/>
      <c r="L3279" s="38"/>
      <c r="M3279" s="38"/>
      <c r="N3279" s="36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</row>
    <row r="3280" spans="1:28" ht="30" customHeight="1" x14ac:dyDescent="0.35">
      <c r="A3280" s="24">
        <f>A3276+1</f>
        <v>1380</v>
      </c>
      <c r="B3280" s="59" t="s">
        <v>1112</v>
      </c>
      <c r="C3280" s="60" t="s">
        <v>62</v>
      </c>
      <c r="D3280" s="61" t="s">
        <v>1113</v>
      </c>
      <c r="E3280" s="41"/>
      <c r="F3280" s="42"/>
    </row>
    <row r="3281" spans="1:28" s="58" customFormat="1" ht="30" customHeight="1" x14ac:dyDescent="0.4">
      <c r="A3281" s="24">
        <f>A3280+1</f>
        <v>1381</v>
      </c>
      <c r="B3281" s="119" t="s">
        <v>926</v>
      </c>
      <c r="C3281" s="120" t="s">
        <v>14</v>
      </c>
      <c r="D3281" s="122">
        <v>0.54400000000000004</v>
      </c>
      <c r="E3281" s="66"/>
      <c r="F3281" s="57"/>
    </row>
    <row r="3282" spans="1:28" ht="30" hidden="1" customHeight="1" outlineLevel="1" x14ac:dyDescent="0.35">
      <c r="A3282" s="47"/>
      <c r="B3282" s="48" t="s">
        <v>137</v>
      </c>
      <c r="C3282" s="49" t="s">
        <v>14</v>
      </c>
      <c r="D3282" s="65">
        <f>28.8/1000*8</f>
        <v>0.23039999999999999</v>
      </c>
      <c r="E3282" s="78"/>
      <c r="F3282" s="42"/>
    </row>
    <row r="3283" spans="1:28" ht="30" hidden="1" customHeight="1" outlineLevel="1" x14ac:dyDescent="0.35">
      <c r="A3283" s="47"/>
      <c r="B3283" s="48" t="s">
        <v>602</v>
      </c>
      <c r="C3283" s="49" t="s">
        <v>14</v>
      </c>
      <c r="D3283" s="65">
        <f>((5.58)+(2.61))/1000*8</f>
        <v>6.5519999999999995E-2</v>
      </c>
      <c r="E3283" s="78"/>
      <c r="F3283" s="42"/>
    </row>
    <row r="3284" spans="1:28" s="58" customFormat="1" ht="30" hidden="1" customHeight="1" outlineLevel="1" x14ac:dyDescent="0.4">
      <c r="A3284" s="54"/>
      <c r="B3284" s="48" t="s">
        <v>985</v>
      </c>
      <c r="C3284" s="49" t="s">
        <v>14</v>
      </c>
      <c r="D3284" s="65">
        <f>((19.1+8.88))/1000*8</f>
        <v>0.22384000000000004</v>
      </c>
      <c r="E3284" s="51"/>
      <c r="F3284" s="57"/>
    </row>
    <row r="3285" spans="1:28" s="58" customFormat="1" ht="30" hidden="1" customHeight="1" outlineLevel="1" x14ac:dyDescent="0.4">
      <c r="A3285" s="54"/>
      <c r="B3285" s="48" t="s">
        <v>1114</v>
      </c>
      <c r="C3285" s="49" t="s">
        <v>14</v>
      </c>
      <c r="D3285" s="65">
        <f>3.03*8/1000</f>
        <v>2.4239999999999998E-2</v>
      </c>
      <c r="E3285" s="51"/>
      <c r="F3285" s="57"/>
    </row>
    <row r="3286" spans="1:28" ht="31" customHeight="1" collapsed="1" x14ac:dyDescent="0.35">
      <c r="A3286" s="24">
        <f>A3281+1</f>
        <v>1382</v>
      </c>
      <c r="B3286" s="25" t="s">
        <v>928</v>
      </c>
      <c r="C3286" s="26" t="s">
        <v>19</v>
      </c>
      <c r="D3286" s="40">
        <f>1.16*8</f>
        <v>9.2799999999999994</v>
      </c>
      <c r="E3286" s="41"/>
      <c r="F3286" s="42"/>
    </row>
    <row r="3287" spans="1:28" ht="31" hidden="1" customHeight="1" outlineLevel="1" x14ac:dyDescent="0.35">
      <c r="A3287" s="47"/>
      <c r="B3287" s="48" t="s">
        <v>65</v>
      </c>
      <c r="C3287" s="49" t="s">
        <v>19</v>
      </c>
      <c r="D3287" s="68">
        <f>D3286</f>
        <v>9.2799999999999994</v>
      </c>
      <c r="E3287" s="69"/>
      <c r="F3287" s="42"/>
    </row>
    <row r="3288" spans="1:28" s="58" customFormat="1" ht="30" customHeight="1" collapsed="1" x14ac:dyDescent="0.4">
      <c r="A3288" s="24">
        <f>A3286+1</f>
        <v>1383</v>
      </c>
      <c r="B3288" s="59" t="s">
        <v>676</v>
      </c>
      <c r="C3288" s="70" t="s">
        <v>14</v>
      </c>
      <c r="D3288" s="27">
        <f>64*3.42/1000</f>
        <v>0.21887999999999999</v>
      </c>
      <c r="E3288" s="66"/>
      <c r="F3288" s="57"/>
    </row>
    <row r="3289" spans="1:28" s="58" customFormat="1" ht="30" hidden="1" customHeight="1" outlineLevel="1" x14ac:dyDescent="0.4">
      <c r="A3289" s="54"/>
      <c r="B3289" s="48" t="s">
        <v>1115</v>
      </c>
      <c r="C3289" s="49" t="s">
        <v>58</v>
      </c>
      <c r="D3289" s="55">
        <f>8*8</f>
        <v>64</v>
      </c>
      <c r="E3289" s="51">
        <v>0.219</v>
      </c>
      <c r="F3289" s="57"/>
    </row>
    <row r="3290" spans="1:28" s="39" customFormat="1" ht="21" customHeight="1" collapsed="1" x14ac:dyDescent="0.35">
      <c r="A3290" s="158" t="s">
        <v>1116</v>
      </c>
      <c r="B3290" s="158"/>
      <c r="C3290" s="158"/>
      <c r="D3290" s="158"/>
      <c r="E3290" s="158"/>
      <c r="F3290" s="34"/>
      <c r="G3290" s="35"/>
      <c r="H3290" s="36"/>
      <c r="I3290" s="37"/>
      <c r="J3290" s="37"/>
      <c r="K3290" s="38"/>
      <c r="L3290" s="38"/>
      <c r="M3290" s="38"/>
      <c r="N3290" s="36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</row>
    <row r="3291" spans="1:28" s="39" customFormat="1" ht="21" customHeight="1" x14ac:dyDescent="0.35">
      <c r="A3291" s="160" t="s">
        <v>675</v>
      </c>
      <c r="B3291" s="161"/>
      <c r="C3291" s="161"/>
      <c r="D3291" s="161"/>
      <c r="E3291" s="162"/>
      <c r="F3291" s="34"/>
      <c r="G3291" s="35"/>
      <c r="H3291" s="36"/>
      <c r="I3291" s="37"/>
      <c r="J3291" s="37"/>
      <c r="K3291" s="38"/>
      <c r="L3291" s="38"/>
      <c r="M3291" s="38"/>
      <c r="N3291" s="36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</row>
    <row r="3292" spans="1:28" ht="30" customHeight="1" x14ac:dyDescent="0.35">
      <c r="A3292" s="24">
        <f>A3288+1</f>
        <v>1384</v>
      </c>
      <c r="B3292" s="59" t="s">
        <v>1112</v>
      </c>
      <c r="C3292" s="60" t="s">
        <v>62</v>
      </c>
      <c r="D3292" s="61" t="s">
        <v>1117</v>
      </c>
      <c r="E3292" s="41"/>
      <c r="F3292" s="42"/>
    </row>
    <row r="3293" spans="1:28" s="58" customFormat="1" ht="30" customHeight="1" x14ac:dyDescent="0.4">
      <c r="A3293" s="24">
        <f>A3292+1</f>
        <v>1385</v>
      </c>
      <c r="B3293" s="119" t="s">
        <v>926</v>
      </c>
      <c r="C3293" s="120" t="s">
        <v>14</v>
      </c>
      <c r="D3293" s="122">
        <v>6.7009999999999996</v>
      </c>
      <c r="E3293" s="66"/>
      <c r="F3293" s="57"/>
    </row>
    <row r="3294" spans="1:28" ht="30" hidden="1" customHeight="1" outlineLevel="1" x14ac:dyDescent="0.35">
      <c r="A3294" s="47"/>
      <c r="B3294" s="48" t="s">
        <v>137</v>
      </c>
      <c r="C3294" s="49" t="s">
        <v>14</v>
      </c>
      <c r="D3294" s="65">
        <f>28.8/1000*98</f>
        <v>2.8224</v>
      </c>
      <c r="E3294" s="78"/>
      <c r="F3294" s="42"/>
    </row>
    <row r="3295" spans="1:28" ht="30" hidden="1" customHeight="1" outlineLevel="1" x14ac:dyDescent="0.35">
      <c r="A3295" s="47"/>
      <c r="B3295" s="48" t="s">
        <v>602</v>
      </c>
      <c r="C3295" s="49" t="s">
        <v>14</v>
      </c>
      <c r="D3295" s="65">
        <f>((5.58)+(2.61))/1000*98</f>
        <v>0.80261999999999989</v>
      </c>
      <c r="E3295" s="78"/>
      <c r="F3295" s="42"/>
    </row>
    <row r="3296" spans="1:28" s="58" customFormat="1" ht="30" hidden="1" customHeight="1" outlineLevel="1" x14ac:dyDescent="0.4">
      <c r="A3296" s="54"/>
      <c r="B3296" s="48" t="s">
        <v>985</v>
      </c>
      <c r="C3296" s="49" t="s">
        <v>14</v>
      </c>
      <c r="D3296" s="65">
        <f>((19.1+8.88))/1000*98</f>
        <v>2.7420400000000003</v>
      </c>
      <c r="E3296" s="51"/>
      <c r="F3296" s="57"/>
    </row>
    <row r="3297" spans="1:28" s="58" customFormat="1" ht="30" hidden="1" customHeight="1" outlineLevel="1" x14ac:dyDescent="0.4">
      <c r="A3297" s="54"/>
      <c r="B3297" s="48" t="s">
        <v>1114</v>
      </c>
      <c r="C3297" s="49" t="s">
        <v>14</v>
      </c>
      <c r="D3297" s="65">
        <f>3.41*98/1000</f>
        <v>0.33418000000000003</v>
      </c>
      <c r="E3297" s="51"/>
      <c r="F3297" s="57"/>
    </row>
    <row r="3298" spans="1:28" ht="31" customHeight="1" collapsed="1" x14ac:dyDescent="0.35">
      <c r="A3298" s="24">
        <f>A3293+1</f>
        <v>1386</v>
      </c>
      <c r="B3298" s="25" t="s">
        <v>928</v>
      </c>
      <c r="C3298" s="26" t="s">
        <v>19</v>
      </c>
      <c r="D3298" s="67">
        <f>1.16*98</f>
        <v>113.67999999999999</v>
      </c>
      <c r="E3298" s="41"/>
      <c r="F3298" s="42"/>
    </row>
    <row r="3299" spans="1:28" ht="31" hidden="1" customHeight="1" outlineLevel="1" x14ac:dyDescent="0.35">
      <c r="A3299" s="47"/>
      <c r="B3299" s="48" t="s">
        <v>65</v>
      </c>
      <c r="C3299" s="49" t="s">
        <v>19</v>
      </c>
      <c r="D3299" s="68">
        <f>D3298</f>
        <v>113.67999999999999</v>
      </c>
      <c r="E3299" s="69"/>
      <c r="F3299" s="42"/>
    </row>
    <row r="3300" spans="1:28" s="58" customFormat="1" ht="30" customHeight="1" collapsed="1" x14ac:dyDescent="0.4">
      <c r="A3300" s="24">
        <f>A3298+1</f>
        <v>1387</v>
      </c>
      <c r="B3300" s="59" t="s">
        <v>676</v>
      </c>
      <c r="C3300" s="70" t="s">
        <v>14</v>
      </c>
      <c r="D3300" s="27">
        <f>6*98*2.31/1000</f>
        <v>1.3582799999999999</v>
      </c>
      <c r="E3300" s="66"/>
      <c r="F3300" s="57"/>
    </row>
    <row r="3301" spans="1:28" s="58" customFormat="1" ht="30" hidden="1" customHeight="1" outlineLevel="1" x14ac:dyDescent="0.4">
      <c r="A3301" s="54"/>
      <c r="B3301" s="48" t="s">
        <v>1118</v>
      </c>
      <c r="C3301" s="49" t="s">
        <v>58</v>
      </c>
      <c r="D3301" s="55">
        <f>6*98</f>
        <v>588</v>
      </c>
      <c r="E3301" s="51">
        <v>1.3580000000000001</v>
      </c>
      <c r="F3301" s="57"/>
    </row>
    <row r="3302" spans="1:28" s="39" customFormat="1" ht="21" customHeight="1" collapsed="1" x14ac:dyDescent="0.35">
      <c r="A3302" s="158" t="s">
        <v>1119</v>
      </c>
      <c r="B3302" s="158"/>
      <c r="C3302" s="158"/>
      <c r="D3302" s="158"/>
      <c r="E3302" s="158"/>
      <c r="F3302" s="34"/>
      <c r="G3302" s="35"/>
      <c r="H3302" s="36"/>
      <c r="I3302" s="37"/>
      <c r="J3302" s="37"/>
      <c r="K3302" s="38"/>
      <c r="L3302" s="38"/>
      <c r="M3302" s="38"/>
      <c r="N3302" s="36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</row>
    <row r="3303" spans="1:28" s="39" customFormat="1" ht="21" customHeight="1" x14ac:dyDescent="0.35">
      <c r="A3303" s="160" t="s">
        <v>483</v>
      </c>
      <c r="B3303" s="161"/>
      <c r="C3303" s="161"/>
      <c r="D3303" s="161"/>
      <c r="E3303" s="162"/>
      <c r="F3303" s="34"/>
      <c r="G3303" s="35"/>
      <c r="H3303" s="36"/>
      <c r="I3303" s="37"/>
      <c r="J3303" s="37"/>
      <c r="K3303" s="38"/>
      <c r="L3303" s="38"/>
      <c r="M3303" s="38"/>
      <c r="N3303" s="36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</row>
    <row r="3304" spans="1:28" ht="36" customHeight="1" x14ac:dyDescent="0.35">
      <c r="A3304" s="24">
        <f>A3300+1</f>
        <v>1388</v>
      </c>
      <c r="B3304" s="59" t="s">
        <v>963</v>
      </c>
      <c r="C3304" s="26" t="s">
        <v>14</v>
      </c>
      <c r="D3304" s="107">
        <v>0.55200000000000005</v>
      </c>
      <c r="E3304" s="41"/>
      <c r="F3304" s="42"/>
    </row>
    <row r="3305" spans="1:28" s="58" customFormat="1" ht="30" hidden="1" customHeight="1" outlineLevel="1" x14ac:dyDescent="0.4">
      <c r="A3305" s="54"/>
      <c r="B3305" s="48" t="s">
        <v>111</v>
      </c>
      <c r="C3305" s="49" t="s">
        <v>14</v>
      </c>
      <c r="D3305" s="65">
        <f>(45.26+156.03)/1000</f>
        <v>0.20129</v>
      </c>
      <c r="E3305" s="69"/>
      <c r="F3305" s="57"/>
    </row>
    <row r="3306" spans="1:28" s="58" customFormat="1" ht="30" hidden="1" customHeight="1" outlineLevel="1" x14ac:dyDescent="0.4">
      <c r="A3306" s="54"/>
      <c r="B3306" s="48" t="s">
        <v>186</v>
      </c>
      <c r="C3306" s="49" t="s">
        <v>14</v>
      </c>
      <c r="D3306" s="65">
        <f>18.72/1000</f>
        <v>1.8720000000000001E-2</v>
      </c>
      <c r="E3306" s="69"/>
      <c r="F3306" s="57"/>
    </row>
    <row r="3307" spans="1:28" s="58" customFormat="1" ht="30" hidden="1" customHeight="1" outlineLevel="1" x14ac:dyDescent="0.4">
      <c r="A3307" s="54"/>
      <c r="B3307" s="48" t="s">
        <v>110</v>
      </c>
      <c r="C3307" s="49" t="s">
        <v>14</v>
      </c>
      <c r="D3307" s="65">
        <f>(18.04+41.09)/1000</f>
        <v>5.9130000000000002E-2</v>
      </c>
      <c r="E3307" s="51"/>
      <c r="F3307" s="57"/>
    </row>
    <row r="3308" spans="1:28" s="58" customFormat="1" ht="30" hidden="1" customHeight="1" outlineLevel="1" x14ac:dyDescent="0.4">
      <c r="A3308" s="54"/>
      <c r="B3308" s="48" t="s">
        <v>964</v>
      </c>
      <c r="C3308" s="49" t="s">
        <v>14</v>
      </c>
      <c r="D3308" s="65">
        <f>(66.35+16.59+3.39+20.36+33.18+55.72)/1000</f>
        <v>0.19559000000000001</v>
      </c>
      <c r="E3308" s="69"/>
      <c r="F3308" s="57"/>
    </row>
    <row r="3309" spans="1:28" s="58" customFormat="1" ht="30" hidden="1" customHeight="1" outlineLevel="1" x14ac:dyDescent="0.4">
      <c r="A3309" s="54"/>
      <c r="B3309" s="48" t="s">
        <v>183</v>
      </c>
      <c r="C3309" s="49" t="s">
        <v>14</v>
      </c>
      <c r="D3309" s="65">
        <f>26.73/1000</f>
        <v>2.673E-2</v>
      </c>
      <c r="E3309" s="69"/>
      <c r="F3309" s="57"/>
    </row>
    <row r="3310" spans="1:28" s="58" customFormat="1" ht="30" hidden="1" customHeight="1" outlineLevel="1" x14ac:dyDescent="0.4">
      <c r="A3310" s="54"/>
      <c r="B3310" s="48" t="s">
        <v>966</v>
      </c>
      <c r="C3310" s="49" t="s">
        <v>14</v>
      </c>
      <c r="D3310" s="65">
        <f>50.11/1000</f>
        <v>5.0110000000000002E-2</v>
      </c>
      <c r="E3310" s="69"/>
      <c r="F3310" s="57"/>
    </row>
    <row r="3311" spans="1:28" s="58" customFormat="1" ht="30" hidden="1" customHeight="1" outlineLevel="1" x14ac:dyDescent="0.4">
      <c r="A3311" s="54"/>
      <c r="B3311" s="48" t="s">
        <v>967</v>
      </c>
      <c r="C3311" s="49" t="s">
        <v>58</v>
      </c>
      <c r="D3311" s="55">
        <v>24</v>
      </c>
      <c r="E3311" s="69"/>
      <c r="F3311" s="57"/>
    </row>
    <row r="3312" spans="1:28" s="58" customFormat="1" ht="30" hidden="1" customHeight="1" outlineLevel="1" x14ac:dyDescent="0.4">
      <c r="A3312" s="54"/>
      <c r="B3312" s="48" t="s">
        <v>968</v>
      </c>
      <c r="C3312" s="49" t="s">
        <v>58</v>
      </c>
      <c r="D3312" s="55">
        <v>48</v>
      </c>
      <c r="E3312" s="69"/>
      <c r="F3312" s="57"/>
    </row>
    <row r="3313" spans="1:28" s="58" customFormat="1" ht="30" hidden="1" customHeight="1" outlineLevel="1" x14ac:dyDescent="0.4">
      <c r="A3313" s="54"/>
      <c r="B3313" s="48" t="s">
        <v>969</v>
      </c>
      <c r="C3313" s="49" t="s">
        <v>58</v>
      </c>
      <c r="D3313" s="55">
        <v>48</v>
      </c>
      <c r="E3313" s="69"/>
      <c r="F3313" s="57"/>
    </row>
    <row r="3314" spans="1:28" ht="36" customHeight="1" collapsed="1" x14ac:dyDescent="0.35">
      <c r="A3314" s="24">
        <f>A3304+1</f>
        <v>1389</v>
      </c>
      <c r="B3314" s="59" t="s">
        <v>118</v>
      </c>
      <c r="C3314" s="26" t="s">
        <v>14</v>
      </c>
      <c r="D3314" s="107">
        <f>D3304</f>
        <v>0.55200000000000005</v>
      </c>
      <c r="E3314" s="41"/>
      <c r="F3314" s="42"/>
    </row>
    <row r="3315" spans="1:28" ht="36" customHeight="1" x14ac:dyDescent="0.35">
      <c r="A3315" s="24">
        <f>A3314+1</f>
        <v>1390</v>
      </c>
      <c r="B3315" s="59" t="s">
        <v>600</v>
      </c>
      <c r="C3315" s="26" t="s">
        <v>19</v>
      </c>
      <c r="D3315" s="104">
        <f>(0.6*1.4*0.8*2)</f>
        <v>1.3440000000000001</v>
      </c>
      <c r="E3315" s="41"/>
      <c r="F3315" s="42"/>
    </row>
    <row r="3316" spans="1:28" ht="30" customHeight="1" x14ac:dyDescent="0.35">
      <c r="A3316" s="24">
        <f>A3315+1</f>
        <v>1391</v>
      </c>
      <c r="B3316" s="25" t="s">
        <v>51</v>
      </c>
      <c r="C3316" s="26" t="s">
        <v>19</v>
      </c>
      <c r="D3316" s="40">
        <v>0.26</v>
      </c>
      <c r="E3316" s="41"/>
      <c r="F3316" s="42"/>
    </row>
    <row r="3317" spans="1:28" ht="31" hidden="1" customHeight="1" outlineLevel="1" x14ac:dyDescent="0.35">
      <c r="A3317" s="47"/>
      <c r="B3317" s="48" t="s">
        <v>52</v>
      </c>
      <c r="C3317" s="49" t="s">
        <v>19</v>
      </c>
      <c r="D3317" s="63">
        <f>0.26</f>
        <v>0.26</v>
      </c>
      <c r="E3317" s="51"/>
      <c r="F3317" s="42"/>
    </row>
    <row r="3318" spans="1:28" s="39" customFormat="1" ht="36" customHeight="1" collapsed="1" x14ac:dyDescent="0.35">
      <c r="A3318" s="24">
        <f>A3316+1</f>
        <v>1392</v>
      </c>
      <c r="B3318" s="25" t="s">
        <v>136</v>
      </c>
      <c r="C3318" s="26" t="s">
        <v>19</v>
      </c>
      <c r="D3318" s="40">
        <v>0.09</v>
      </c>
      <c r="E3318" s="64"/>
      <c r="F3318" s="34"/>
      <c r="G3318" s="35"/>
      <c r="H3318" s="36"/>
      <c r="I3318" s="37"/>
      <c r="J3318" s="37"/>
      <c r="K3318" s="38"/>
      <c r="L3318" s="38"/>
      <c r="M3318" s="38"/>
      <c r="N3318" s="36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</row>
    <row r="3319" spans="1:28" ht="31" hidden="1" customHeight="1" outlineLevel="1" x14ac:dyDescent="0.35">
      <c r="A3319" s="47"/>
      <c r="B3319" s="48" t="s">
        <v>134</v>
      </c>
      <c r="C3319" s="49" t="s">
        <v>19</v>
      </c>
      <c r="D3319" s="63">
        <v>0.09</v>
      </c>
      <c r="E3319" s="51"/>
      <c r="F3319" s="42"/>
    </row>
    <row r="3320" spans="1:28" ht="33" customHeight="1" collapsed="1" x14ac:dyDescent="0.35">
      <c r="A3320" s="24">
        <f>A3318+1</f>
        <v>1393</v>
      </c>
      <c r="B3320" s="25" t="s">
        <v>64</v>
      </c>
      <c r="C3320" s="26" t="s">
        <v>19</v>
      </c>
      <c r="D3320" s="40">
        <v>0.24</v>
      </c>
      <c r="E3320" s="41"/>
      <c r="F3320" s="53"/>
    </row>
    <row r="3321" spans="1:28" s="58" customFormat="1" ht="30" hidden="1" customHeight="1" outlineLevel="1" x14ac:dyDescent="0.4">
      <c r="A3321" s="54"/>
      <c r="B3321" s="48" t="s">
        <v>65</v>
      </c>
      <c r="C3321" s="49" t="s">
        <v>19</v>
      </c>
      <c r="D3321" s="63">
        <f>0.24*1</f>
        <v>0.24</v>
      </c>
      <c r="E3321" s="51"/>
      <c r="F3321" s="57"/>
    </row>
    <row r="3322" spans="1:28" s="58" customFormat="1" ht="30" customHeight="1" collapsed="1" x14ac:dyDescent="0.4">
      <c r="A3322" s="24">
        <f>A3320+1</f>
        <v>1394</v>
      </c>
      <c r="B3322" s="59" t="s">
        <v>676</v>
      </c>
      <c r="C3322" s="70" t="s">
        <v>14</v>
      </c>
      <c r="D3322" s="40">
        <f>0.048*2</f>
        <v>9.6000000000000002E-2</v>
      </c>
      <c r="E3322" s="66"/>
      <c r="F3322" s="57"/>
    </row>
    <row r="3323" spans="1:28" s="58" customFormat="1" ht="30" hidden="1" customHeight="1" outlineLevel="1" x14ac:dyDescent="0.4">
      <c r="A3323" s="54"/>
      <c r="B3323" s="48" t="s">
        <v>189</v>
      </c>
      <c r="C3323" s="49" t="s">
        <v>14</v>
      </c>
      <c r="D3323" s="65">
        <v>9.6000000000000002E-2</v>
      </c>
      <c r="E3323" s="51"/>
      <c r="F3323" s="57"/>
    </row>
    <row r="3324" spans="1:28" ht="36" customHeight="1" collapsed="1" x14ac:dyDescent="0.35">
      <c r="A3324" s="24">
        <f>A3322+1</f>
        <v>1395</v>
      </c>
      <c r="B3324" s="59" t="s">
        <v>72</v>
      </c>
      <c r="C3324" s="26" t="s">
        <v>29</v>
      </c>
      <c r="D3324" s="104">
        <f>((D3305+D3308+D3309+D3310+D3306)*28)+(0.87*0.24*2)+(1*1.1*2)</f>
        <v>16.405919999999998</v>
      </c>
      <c r="E3324" s="41"/>
      <c r="F3324" s="42"/>
    </row>
    <row r="3325" spans="1:28" s="58" customFormat="1" ht="30" hidden="1" customHeight="1" outlineLevel="1" x14ac:dyDescent="0.4">
      <c r="A3325" s="54"/>
      <c r="B3325" s="48" t="s">
        <v>73</v>
      </c>
      <c r="C3325" s="49" t="s">
        <v>74</v>
      </c>
      <c r="D3325" s="68">
        <f>3.31*D3324</f>
        <v>54.303595199999997</v>
      </c>
      <c r="E3325" s="69">
        <v>5.3999999999999999E-2</v>
      </c>
      <c r="F3325" s="57"/>
    </row>
    <row r="3326" spans="1:28" ht="36" customHeight="1" collapsed="1" x14ac:dyDescent="0.35">
      <c r="A3326" s="24">
        <f>A3324+1</f>
        <v>1396</v>
      </c>
      <c r="B3326" s="59" t="s">
        <v>75</v>
      </c>
      <c r="C3326" s="26" t="s">
        <v>29</v>
      </c>
      <c r="D3326" s="104">
        <f>D3324</f>
        <v>16.405919999999998</v>
      </c>
      <c r="E3326" s="41"/>
      <c r="F3326" s="42"/>
    </row>
    <row r="3327" spans="1:28" ht="36" customHeight="1" x14ac:dyDescent="0.35">
      <c r="A3327" s="24">
        <f>A3326+1</f>
        <v>1397</v>
      </c>
      <c r="B3327" s="59" t="s">
        <v>76</v>
      </c>
      <c r="C3327" s="26" t="s">
        <v>29</v>
      </c>
      <c r="D3327" s="104">
        <f>D3326</f>
        <v>16.405919999999998</v>
      </c>
      <c r="E3327" s="41"/>
      <c r="F3327" s="42"/>
    </row>
    <row r="3328" spans="1:28" s="58" customFormat="1" ht="30" customHeight="1" x14ac:dyDescent="0.4">
      <c r="A3328" s="24">
        <f>A3327+1</f>
        <v>1398</v>
      </c>
      <c r="B3328" s="59" t="s">
        <v>77</v>
      </c>
      <c r="C3328" s="70" t="s">
        <v>29</v>
      </c>
      <c r="D3328" s="104">
        <f>D3327</f>
        <v>16.405919999999998</v>
      </c>
      <c r="E3328" s="66"/>
      <c r="F3328" s="57"/>
    </row>
    <row r="3329" spans="1:28" s="58" customFormat="1" ht="30" hidden="1" customHeight="1" outlineLevel="1" x14ac:dyDescent="0.4">
      <c r="A3329" s="54"/>
      <c r="B3329" s="48" t="s">
        <v>78</v>
      </c>
      <c r="C3329" s="49" t="s">
        <v>74</v>
      </c>
      <c r="D3329" s="68">
        <f>D3328*0.255</f>
        <v>4.1835095999999998</v>
      </c>
      <c r="E3329" s="69">
        <v>4.0000000000000001E-3</v>
      </c>
      <c r="F3329" s="57"/>
    </row>
    <row r="3330" spans="1:28" s="58" customFormat="1" ht="30" customHeight="1" collapsed="1" x14ac:dyDescent="0.4">
      <c r="A3330" s="24">
        <f>A3328+1</f>
        <v>1399</v>
      </c>
      <c r="B3330" s="59" t="s">
        <v>79</v>
      </c>
      <c r="C3330" s="70" t="s">
        <v>29</v>
      </c>
      <c r="D3330" s="104">
        <f>D3328</f>
        <v>16.405919999999998</v>
      </c>
      <c r="E3330" s="66"/>
      <c r="F3330" s="57"/>
    </row>
    <row r="3331" spans="1:28" s="58" customFormat="1" ht="30" hidden="1" customHeight="1" outlineLevel="1" x14ac:dyDescent="0.4">
      <c r="A3331" s="54"/>
      <c r="B3331" s="48" t="s">
        <v>80</v>
      </c>
      <c r="C3331" s="49" t="s">
        <v>74</v>
      </c>
      <c r="D3331" s="68">
        <f>D3330*0.36*2</f>
        <v>11.812262399999998</v>
      </c>
      <c r="E3331" s="69">
        <v>1.2E-2</v>
      </c>
      <c r="F3331" s="57"/>
    </row>
    <row r="3332" spans="1:28" s="39" customFormat="1" ht="21" customHeight="1" collapsed="1" x14ac:dyDescent="0.35">
      <c r="A3332" s="158" t="s">
        <v>1120</v>
      </c>
      <c r="B3332" s="158"/>
      <c r="C3332" s="158"/>
      <c r="D3332" s="158"/>
      <c r="E3332" s="158"/>
      <c r="F3332" s="34"/>
      <c r="G3332" s="35"/>
      <c r="H3332" s="36"/>
      <c r="I3332" s="37"/>
      <c r="J3332" s="37"/>
      <c r="K3332" s="38"/>
      <c r="L3332" s="38"/>
      <c r="M3332" s="38"/>
      <c r="N3332" s="36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</row>
    <row r="3333" spans="1:28" s="39" customFormat="1" ht="21" customHeight="1" x14ac:dyDescent="0.35">
      <c r="A3333" s="160" t="s">
        <v>1121</v>
      </c>
      <c r="B3333" s="161"/>
      <c r="C3333" s="161"/>
      <c r="D3333" s="161"/>
      <c r="E3333" s="162"/>
      <c r="F3333" s="34"/>
      <c r="G3333" s="35"/>
      <c r="H3333" s="36"/>
      <c r="I3333" s="37"/>
      <c r="J3333" s="37"/>
      <c r="K3333" s="38"/>
      <c r="L3333" s="38"/>
      <c r="M3333" s="38"/>
      <c r="N3333" s="36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</row>
    <row r="3334" spans="1:28" s="58" customFormat="1" ht="30" customHeight="1" x14ac:dyDescent="0.4">
      <c r="A3334" s="24">
        <f>A3330+1</f>
        <v>1400</v>
      </c>
      <c r="B3334" s="59" t="s">
        <v>1122</v>
      </c>
      <c r="C3334" s="70" t="s">
        <v>67</v>
      </c>
      <c r="D3334" s="27" t="s">
        <v>1123</v>
      </c>
      <c r="E3334" s="66"/>
      <c r="F3334" s="57"/>
    </row>
    <row r="3335" spans="1:28" s="58" customFormat="1" ht="30" hidden="1" customHeight="1" outlineLevel="1" x14ac:dyDescent="0.4">
      <c r="A3335" s="54"/>
      <c r="B3335" s="48" t="s">
        <v>1124</v>
      </c>
      <c r="C3335" s="49" t="s">
        <v>14</v>
      </c>
      <c r="D3335" s="65">
        <f>(428.42+214.37)*2/1000</f>
        <v>1.2855799999999999</v>
      </c>
      <c r="E3335" s="51"/>
      <c r="F3335" s="57"/>
    </row>
    <row r="3336" spans="1:28" s="58" customFormat="1" ht="30" hidden="1" customHeight="1" outlineLevel="1" x14ac:dyDescent="0.4">
      <c r="A3336" s="54"/>
      <c r="B3336" s="48" t="s">
        <v>70</v>
      </c>
      <c r="C3336" s="49" t="s">
        <v>14</v>
      </c>
      <c r="D3336" s="65">
        <f>0.72*78.5*2/1000</f>
        <v>0.11303999999999999</v>
      </c>
      <c r="E3336" s="51"/>
      <c r="F3336" s="57"/>
    </row>
    <row r="3337" spans="1:28" s="58" customFormat="1" ht="30" customHeight="1" collapsed="1" x14ac:dyDescent="0.4">
      <c r="A3337" s="24">
        <f>A3334+1</f>
        <v>1401</v>
      </c>
      <c r="B3337" s="119" t="s">
        <v>1125</v>
      </c>
      <c r="C3337" s="70" t="s">
        <v>67</v>
      </c>
      <c r="D3337" s="27" t="s">
        <v>1123</v>
      </c>
      <c r="E3337" s="66"/>
      <c r="F3337" s="57"/>
    </row>
    <row r="3338" spans="1:28" ht="36" customHeight="1" x14ac:dyDescent="0.35">
      <c r="A3338" s="24">
        <f>A3337+1</f>
        <v>1402</v>
      </c>
      <c r="B3338" s="59" t="s">
        <v>72</v>
      </c>
      <c r="C3338" s="26" t="s">
        <v>29</v>
      </c>
      <c r="D3338" s="104">
        <f>(0.79*57.4)+0.72+0.72</f>
        <v>46.786000000000001</v>
      </c>
      <c r="E3338" s="41"/>
      <c r="F3338" s="42"/>
    </row>
    <row r="3339" spans="1:28" s="58" customFormat="1" ht="30" hidden="1" customHeight="1" outlineLevel="1" x14ac:dyDescent="0.4">
      <c r="A3339" s="54"/>
      <c r="B3339" s="48" t="s">
        <v>73</v>
      </c>
      <c r="C3339" s="49" t="s">
        <v>74</v>
      </c>
      <c r="D3339" s="68">
        <f>3.31*D3338</f>
        <v>154.86166</v>
      </c>
      <c r="E3339" s="69">
        <v>0.155</v>
      </c>
      <c r="F3339" s="57"/>
    </row>
    <row r="3340" spans="1:28" ht="36" customHeight="1" collapsed="1" x14ac:dyDescent="0.35">
      <c r="A3340" s="24">
        <f>A3338+1</f>
        <v>1403</v>
      </c>
      <c r="B3340" s="59" t="s">
        <v>75</v>
      </c>
      <c r="C3340" s="26" t="s">
        <v>29</v>
      </c>
      <c r="D3340" s="104">
        <f>D3338</f>
        <v>46.786000000000001</v>
      </c>
      <c r="E3340" s="41"/>
      <c r="F3340" s="42"/>
    </row>
    <row r="3341" spans="1:28" ht="36" customHeight="1" x14ac:dyDescent="0.35">
      <c r="A3341" s="24">
        <f>A3340+1</f>
        <v>1404</v>
      </c>
      <c r="B3341" s="59" t="s">
        <v>76</v>
      </c>
      <c r="C3341" s="26" t="s">
        <v>29</v>
      </c>
      <c r="D3341" s="104">
        <f>D3340</f>
        <v>46.786000000000001</v>
      </c>
      <c r="E3341" s="41"/>
      <c r="F3341" s="42"/>
    </row>
    <row r="3342" spans="1:28" s="58" customFormat="1" ht="30" customHeight="1" x14ac:dyDescent="0.4">
      <c r="A3342" s="24">
        <f>A3341+1</f>
        <v>1405</v>
      </c>
      <c r="B3342" s="59" t="s">
        <v>77</v>
      </c>
      <c r="C3342" s="70" t="s">
        <v>29</v>
      </c>
      <c r="D3342" s="104">
        <f>D3341</f>
        <v>46.786000000000001</v>
      </c>
      <c r="E3342" s="66"/>
      <c r="F3342" s="57"/>
    </row>
    <row r="3343" spans="1:28" s="58" customFormat="1" ht="30" hidden="1" customHeight="1" outlineLevel="1" x14ac:dyDescent="0.4">
      <c r="A3343" s="54"/>
      <c r="B3343" s="48" t="s">
        <v>78</v>
      </c>
      <c r="C3343" s="49" t="s">
        <v>74</v>
      </c>
      <c r="D3343" s="68">
        <f>D3342*0.255</f>
        <v>11.930430000000001</v>
      </c>
      <c r="E3343" s="69">
        <v>1.2E-2</v>
      </c>
      <c r="F3343" s="57"/>
    </row>
    <row r="3344" spans="1:28" s="58" customFormat="1" ht="30" customHeight="1" collapsed="1" x14ac:dyDescent="0.4">
      <c r="A3344" s="24">
        <f>A3342+1</f>
        <v>1406</v>
      </c>
      <c r="B3344" s="59" t="s">
        <v>79</v>
      </c>
      <c r="C3344" s="70" t="s">
        <v>29</v>
      </c>
      <c r="D3344" s="104">
        <f>D3342</f>
        <v>46.786000000000001</v>
      </c>
      <c r="E3344" s="66"/>
      <c r="F3344" s="57"/>
    </row>
    <row r="3345" spans="1:28" s="58" customFormat="1" ht="30" hidden="1" customHeight="1" outlineLevel="1" x14ac:dyDescent="0.4">
      <c r="A3345" s="54"/>
      <c r="B3345" s="48" t="s">
        <v>80</v>
      </c>
      <c r="C3345" s="49" t="s">
        <v>74</v>
      </c>
      <c r="D3345" s="68">
        <f>D3344*0.36*2</f>
        <v>33.685920000000003</v>
      </c>
      <c r="E3345" s="69">
        <v>3.4000000000000002E-2</v>
      </c>
      <c r="F3345" s="57"/>
    </row>
    <row r="3346" spans="1:28" s="39" customFormat="1" ht="30" customHeight="1" collapsed="1" x14ac:dyDescent="0.35">
      <c r="A3346" s="153" t="s">
        <v>1126</v>
      </c>
      <c r="B3346" s="153"/>
      <c r="C3346" s="153"/>
      <c r="D3346" s="153"/>
      <c r="E3346" s="153"/>
      <c r="F3346" s="34"/>
      <c r="G3346" s="35"/>
      <c r="H3346" s="36"/>
      <c r="I3346" s="37"/>
      <c r="J3346" s="37"/>
      <c r="K3346" s="38"/>
      <c r="L3346" s="38"/>
      <c r="M3346" s="38"/>
      <c r="N3346" s="36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</row>
    <row r="3347" spans="1:28" s="39" customFormat="1" ht="21" customHeight="1" x14ac:dyDescent="0.35">
      <c r="A3347" s="158" t="s">
        <v>1127</v>
      </c>
      <c r="B3347" s="158"/>
      <c r="C3347" s="158"/>
      <c r="D3347" s="158"/>
      <c r="E3347" s="158"/>
      <c r="F3347" s="34"/>
      <c r="G3347" s="35"/>
      <c r="H3347" s="36"/>
      <c r="I3347" s="37"/>
      <c r="J3347" s="37"/>
      <c r="K3347" s="38"/>
      <c r="L3347" s="38"/>
      <c r="M3347" s="38"/>
      <c r="N3347" s="36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</row>
    <row r="3348" spans="1:28" s="33" customFormat="1" ht="31" customHeight="1" x14ac:dyDescent="0.35">
      <c r="A3348" s="24">
        <f>A3344+1</f>
        <v>1407</v>
      </c>
      <c r="B3348" s="59" t="s">
        <v>1128</v>
      </c>
      <c r="C3348" s="26" t="s">
        <v>58</v>
      </c>
      <c r="D3348" s="73">
        <v>202</v>
      </c>
      <c r="E3348" s="28"/>
      <c r="F3348" s="29"/>
      <c r="G3348" s="30"/>
      <c r="H3348" s="31"/>
      <c r="I3348" s="30"/>
      <c r="J3348" s="30"/>
      <c r="K3348" s="32"/>
      <c r="L3348" s="32"/>
      <c r="M3348" s="32"/>
      <c r="N3348" s="31"/>
      <c r="O3348" s="32"/>
      <c r="P3348" s="32"/>
      <c r="Q3348" s="32"/>
      <c r="R3348" s="32"/>
      <c r="S3348" s="32"/>
      <c r="T3348" s="32"/>
      <c r="U3348" s="32"/>
      <c r="V3348" s="32"/>
      <c r="W3348" s="32"/>
      <c r="X3348" s="32"/>
      <c r="Y3348" s="32"/>
      <c r="Z3348" s="32"/>
      <c r="AA3348" s="32"/>
      <c r="AB3348" s="32"/>
    </row>
    <row r="3349" spans="1:28" s="33" customFormat="1" ht="31" customHeight="1" x14ac:dyDescent="0.35">
      <c r="A3349" s="24">
        <f>A3348+1</f>
        <v>1408</v>
      </c>
      <c r="B3349" s="59" t="s">
        <v>1129</v>
      </c>
      <c r="C3349" s="26" t="s">
        <v>58</v>
      </c>
      <c r="D3349" s="73">
        <v>202</v>
      </c>
      <c r="E3349" s="28"/>
      <c r="F3349" s="29"/>
      <c r="G3349" s="30"/>
      <c r="H3349" s="31"/>
      <c r="I3349" s="30"/>
      <c r="J3349" s="30"/>
      <c r="K3349" s="32"/>
      <c r="L3349" s="32"/>
      <c r="M3349" s="32"/>
      <c r="N3349" s="31"/>
      <c r="O3349" s="32"/>
      <c r="P3349" s="32"/>
      <c r="Q3349" s="32"/>
      <c r="R3349" s="32"/>
      <c r="S3349" s="32"/>
      <c r="T3349" s="32"/>
      <c r="U3349" s="32"/>
      <c r="V3349" s="32"/>
      <c r="W3349" s="32"/>
      <c r="X3349" s="32"/>
      <c r="Y3349" s="32"/>
      <c r="Z3349" s="32"/>
      <c r="AA3349" s="32"/>
      <c r="AB3349" s="32"/>
    </row>
    <row r="3350" spans="1:28" s="33" customFormat="1" ht="31" customHeight="1" x14ac:dyDescent="0.35">
      <c r="A3350" s="24">
        <f>A3349+1</f>
        <v>1409</v>
      </c>
      <c r="B3350" s="59" t="s">
        <v>1130</v>
      </c>
      <c r="C3350" s="26" t="s">
        <v>58</v>
      </c>
      <c r="D3350" s="73">
        <v>202</v>
      </c>
      <c r="E3350" s="28"/>
      <c r="F3350" s="29"/>
      <c r="G3350" s="30"/>
      <c r="H3350" s="31"/>
      <c r="I3350" s="30"/>
      <c r="J3350" s="30"/>
      <c r="K3350" s="32"/>
      <c r="L3350" s="32"/>
      <c r="M3350" s="32"/>
      <c r="N3350" s="31"/>
      <c r="O3350" s="32"/>
      <c r="P3350" s="32"/>
      <c r="Q3350" s="32"/>
      <c r="R3350" s="32"/>
      <c r="S3350" s="32"/>
      <c r="T3350" s="32"/>
      <c r="U3350" s="32"/>
      <c r="V3350" s="32"/>
      <c r="W3350" s="32"/>
      <c r="X3350" s="32"/>
      <c r="Y3350" s="32"/>
      <c r="Z3350" s="32"/>
      <c r="AA3350" s="32"/>
      <c r="AB3350" s="32"/>
    </row>
    <row r="3351" spans="1:28" s="39" customFormat="1" ht="77.150000000000006" hidden="1" outlineLevel="1" x14ac:dyDescent="0.35">
      <c r="A3351" s="74"/>
      <c r="B3351" s="48" t="s">
        <v>1131</v>
      </c>
      <c r="C3351" s="49" t="s">
        <v>251</v>
      </c>
      <c r="D3351" s="55">
        <v>198</v>
      </c>
      <c r="E3351" s="78"/>
      <c r="F3351" s="34"/>
      <c r="G3351" s="35"/>
      <c r="H3351" s="36"/>
      <c r="I3351" s="37"/>
      <c r="J3351" s="37"/>
      <c r="K3351" s="38"/>
      <c r="L3351" s="38"/>
      <c r="M3351" s="38"/>
      <c r="N3351" s="36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</row>
    <row r="3352" spans="1:28" s="39" customFormat="1" ht="77.150000000000006" hidden="1" outlineLevel="1" x14ac:dyDescent="0.35">
      <c r="A3352" s="74"/>
      <c r="B3352" s="48" t="s">
        <v>1132</v>
      </c>
      <c r="C3352" s="49" t="s">
        <v>251</v>
      </c>
      <c r="D3352" s="55">
        <v>2</v>
      </c>
      <c r="E3352" s="78"/>
      <c r="F3352" s="34"/>
      <c r="G3352" s="35"/>
      <c r="H3352" s="36"/>
      <c r="I3352" s="37"/>
      <c r="J3352" s="37"/>
      <c r="K3352" s="38"/>
      <c r="L3352" s="38"/>
      <c r="M3352" s="38"/>
      <c r="N3352" s="36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</row>
    <row r="3353" spans="1:28" s="39" customFormat="1" ht="77.150000000000006" hidden="1" outlineLevel="1" x14ac:dyDescent="0.35">
      <c r="A3353" s="74"/>
      <c r="B3353" s="48" t="s">
        <v>1133</v>
      </c>
      <c r="C3353" s="49" t="s">
        <v>251</v>
      </c>
      <c r="D3353" s="55">
        <v>2</v>
      </c>
      <c r="E3353" s="78"/>
      <c r="F3353" s="34"/>
      <c r="G3353" s="35"/>
      <c r="H3353" s="36"/>
      <c r="I3353" s="37"/>
      <c r="J3353" s="37"/>
      <c r="K3353" s="38"/>
      <c r="L3353" s="38"/>
      <c r="M3353" s="38"/>
      <c r="N3353" s="36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</row>
    <row r="3354" spans="1:28" s="58" customFormat="1" ht="30" hidden="1" customHeight="1" outlineLevel="1" x14ac:dyDescent="0.4">
      <c r="A3354" s="54"/>
      <c r="B3354" s="48" t="s">
        <v>65</v>
      </c>
      <c r="C3354" s="49" t="s">
        <v>19</v>
      </c>
      <c r="D3354" s="50">
        <f>27.3</f>
        <v>27.3</v>
      </c>
      <c r="E3354" s="51"/>
      <c r="F3354" s="57"/>
    </row>
    <row r="3355" spans="1:28" s="33" customFormat="1" ht="31" customHeight="1" collapsed="1" x14ac:dyDescent="0.35">
      <c r="A3355" s="24">
        <f>A3350+1</f>
        <v>1410</v>
      </c>
      <c r="B3355" s="59" t="s">
        <v>1134</v>
      </c>
      <c r="C3355" s="26" t="s">
        <v>58</v>
      </c>
      <c r="D3355" s="73">
        <v>598</v>
      </c>
      <c r="E3355" s="28"/>
      <c r="F3355" s="29"/>
      <c r="G3355" s="30"/>
      <c r="H3355" s="31"/>
      <c r="I3355" s="30"/>
      <c r="J3355" s="30"/>
      <c r="K3355" s="32"/>
      <c r="L3355" s="32"/>
      <c r="M3355" s="32"/>
      <c r="N3355" s="31"/>
      <c r="O3355" s="32"/>
      <c r="P3355" s="32"/>
      <c r="Q3355" s="32"/>
      <c r="R3355" s="32"/>
      <c r="S3355" s="32"/>
      <c r="T3355" s="32"/>
      <c r="U3355" s="32"/>
      <c r="V3355" s="32"/>
      <c r="W3355" s="32"/>
      <c r="X3355" s="32"/>
      <c r="Y3355" s="32"/>
      <c r="Z3355" s="32"/>
      <c r="AA3355" s="32"/>
      <c r="AB3355" s="32"/>
    </row>
    <row r="3356" spans="1:28" s="39" customFormat="1" ht="61.75" hidden="1" outlineLevel="1" x14ac:dyDescent="0.35">
      <c r="A3356" s="74"/>
      <c r="B3356" s="48" t="s">
        <v>1135</v>
      </c>
      <c r="C3356" s="49" t="s">
        <v>58</v>
      </c>
      <c r="D3356" s="55">
        <v>382</v>
      </c>
      <c r="E3356" s="78"/>
      <c r="F3356" s="34"/>
      <c r="G3356" s="35"/>
      <c r="H3356" s="36"/>
      <c r="I3356" s="37"/>
      <c r="J3356" s="37"/>
      <c r="K3356" s="38"/>
      <c r="L3356" s="38"/>
      <c r="M3356" s="38"/>
      <c r="N3356" s="36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</row>
    <row r="3357" spans="1:28" s="39" customFormat="1" ht="61.75" hidden="1" outlineLevel="1" x14ac:dyDescent="0.35">
      <c r="A3357" s="74"/>
      <c r="B3357" s="48" t="s">
        <v>1136</v>
      </c>
      <c r="C3357" s="49" t="s">
        <v>58</v>
      </c>
      <c r="D3357" s="55">
        <v>191</v>
      </c>
      <c r="E3357" s="78"/>
      <c r="F3357" s="34"/>
      <c r="G3357" s="35"/>
      <c r="H3357" s="36"/>
      <c r="I3357" s="37"/>
      <c r="J3357" s="37"/>
      <c r="K3357" s="38"/>
      <c r="L3357" s="38"/>
      <c r="M3357" s="38"/>
      <c r="N3357" s="36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</row>
    <row r="3358" spans="1:28" s="39" customFormat="1" ht="61.75" hidden="1" outlineLevel="1" x14ac:dyDescent="0.35">
      <c r="A3358" s="74"/>
      <c r="B3358" s="48" t="s">
        <v>1137</v>
      </c>
      <c r="C3358" s="49" t="s">
        <v>58</v>
      </c>
      <c r="D3358" s="55">
        <v>4</v>
      </c>
      <c r="E3358" s="78"/>
      <c r="F3358" s="34"/>
      <c r="G3358" s="35"/>
      <c r="H3358" s="36"/>
      <c r="I3358" s="37"/>
      <c r="J3358" s="37"/>
      <c r="K3358" s="38"/>
      <c r="L3358" s="38"/>
      <c r="M3358" s="38"/>
      <c r="N3358" s="36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</row>
    <row r="3359" spans="1:28" s="39" customFormat="1" ht="61.75" hidden="1" outlineLevel="1" x14ac:dyDescent="0.35">
      <c r="A3359" s="74"/>
      <c r="B3359" s="48" t="s">
        <v>1138</v>
      </c>
      <c r="C3359" s="49" t="s">
        <v>58</v>
      </c>
      <c r="D3359" s="55">
        <v>2</v>
      </c>
      <c r="E3359" s="78"/>
      <c r="F3359" s="34"/>
      <c r="G3359" s="35"/>
      <c r="H3359" s="36"/>
      <c r="I3359" s="37"/>
      <c r="J3359" s="37"/>
      <c r="K3359" s="38"/>
      <c r="L3359" s="38"/>
      <c r="M3359" s="38"/>
      <c r="N3359" s="36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</row>
    <row r="3360" spans="1:28" s="39" customFormat="1" ht="61.75" hidden="1" outlineLevel="1" x14ac:dyDescent="0.35">
      <c r="A3360" s="74"/>
      <c r="B3360" s="48" t="s">
        <v>1139</v>
      </c>
      <c r="C3360" s="49" t="s">
        <v>58</v>
      </c>
      <c r="D3360" s="55">
        <v>2</v>
      </c>
      <c r="E3360" s="78"/>
      <c r="F3360" s="34"/>
      <c r="G3360" s="35"/>
      <c r="H3360" s="36"/>
      <c r="I3360" s="37"/>
      <c r="J3360" s="37"/>
      <c r="K3360" s="38"/>
      <c r="L3360" s="38"/>
      <c r="M3360" s="38"/>
      <c r="N3360" s="36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</row>
    <row r="3361" spans="1:28" s="39" customFormat="1" ht="61.75" hidden="1" outlineLevel="1" x14ac:dyDescent="0.35">
      <c r="A3361" s="74"/>
      <c r="B3361" s="48" t="s">
        <v>1140</v>
      </c>
      <c r="C3361" s="49" t="s">
        <v>58</v>
      </c>
      <c r="D3361" s="55">
        <v>1</v>
      </c>
      <c r="E3361" s="78"/>
      <c r="F3361" s="34"/>
      <c r="G3361" s="35"/>
      <c r="H3361" s="36"/>
      <c r="I3361" s="37"/>
      <c r="J3361" s="37"/>
      <c r="K3361" s="38"/>
      <c r="L3361" s="38"/>
      <c r="M3361" s="38"/>
      <c r="N3361" s="36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</row>
    <row r="3362" spans="1:28" s="39" customFormat="1" ht="61.75" hidden="1" outlineLevel="1" x14ac:dyDescent="0.35">
      <c r="A3362" s="74"/>
      <c r="B3362" s="48" t="s">
        <v>1141</v>
      </c>
      <c r="C3362" s="49" t="s">
        <v>58</v>
      </c>
      <c r="D3362" s="55">
        <v>2</v>
      </c>
      <c r="E3362" s="78"/>
      <c r="F3362" s="34"/>
      <c r="G3362" s="35"/>
      <c r="H3362" s="36"/>
      <c r="I3362" s="37"/>
      <c r="J3362" s="37"/>
      <c r="K3362" s="38"/>
      <c r="L3362" s="38"/>
      <c r="M3362" s="38"/>
      <c r="N3362" s="36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</row>
    <row r="3363" spans="1:28" s="39" customFormat="1" ht="61.75" hidden="1" outlineLevel="1" x14ac:dyDescent="0.35">
      <c r="A3363" s="74"/>
      <c r="B3363" s="48" t="s">
        <v>1142</v>
      </c>
      <c r="C3363" s="49" t="s">
        <v>58</v>
      </c>
      <c r="D3363" s="55">
        <v>1</v>
      </c>
      <c r="E3363" s="78"/>
      <c r="F3363" s="34"/>
      <c r="G3363" s="35"/>
      <c r="H3363" s="36"/>
      <c r="I3363" s="37"/>
      <c r="J3363" s="37"/>
      <c r="K3363" s="38"/>
      <c r="L3363" s="38"/>
      <c r="M3363" s="38"/>
      <c r="N3363" s="36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</row>
    <row r="3364" spans="1:28" s="39" customFormat="1" ht="61.75" hidden="1" outlineLevel="1" x14ac:dyDescent="0.35">
      <c r="A3364" s="74"/>
      <c r="B3364" s="48" t="s">
        <v>1143</v>
      </c>
      <c r="C3364" s="49" t="s">
        <v>58</v>
      </c>
      <c r="D3364" s="55">
        <v>2</v>
      </c>
      <c r="E3364" s="78"/>
      <c r="F3364" s="34"/>
      <c r="G3364" s="35"/>
      <c r="H3364" s="36"/>
      <c r="I3364" s="37"/>
      <c r="J3364" s="37"/>
      <c r="K3364" s="38"/>
      <c r="L3364" s="38"/>
      <c r="M3364" s="38"/>
      <c r="N3364" s="36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</row>
    <row r="3365" spans="1:28" s="39" customFormat="1" ht="61.75" hidden="1" outlineLevel="1" x14ac:dyDescent="0.35">
      <c r="A3365" s="74"/>
      <c r="B3365" s="48" t="s">
        <v>1144</v>
      </c>
      <c r="C3365" s="49" t="s">
        <v>58</v>
      </c>
      <c r="D3365" s="55">
        <v>1</v>
      </c>
      <c r="E3365" s="78"/>
      <c r="F3365" s="34"/>
      <c r="G3365" s="35"/>
      <c r="H3365" s="36"/>
      <c r="I3365" s="37"/>
      <c r="J3365" s="37"/>
      <c r="K3365" s="38"/>
      <c r="L3365" s="38"/>
      <c r="M3365" s="38"/>
      <c r="N3365" s="36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</row>
    <row r="3366" spans="1:28" s="39" customFormat="1" ht="61.75" hidden="1" outlineLevel="1" x14ac:dyDescent="0.35">
      <c r="A3366" s="74"/>
      <c r="B3366" s="48" t="s">
        <v>1145</v>
      </c>
      <c r="C3366" s="49" t="s">
        <v>58</v>
      </c>
      <c r="D3366" s="55">
        <v>2</v>
      </c>
      <c r="E3366" s="78"/>
      <c r="F3366" s="34"/>
      <c r="G3366" s="35"/>
      <c r="H3366" s="36"/>
      <c r="I3366" s="37"/>
      <c r="J3366" s="37"/>
      <c r="K3366" s="38"/>
      <c r="L3366" s="38"/>
      <c r="M3366" s="38"/>
      <c r="N3366" s="36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</row>
    <row r="3367" spans="1:28" s="39" customFormat="1" ht="61.75" hidden="1" outlineLevel="1" x14ac:dyDescent="0.35">
      <c r="A3367" s="74"/>
      <c r="B3367" s="48" t="s">
        <v>1146</v>
      </c>
      <c r="C3367" s="49" t="s">
        <v>58</v>
      </c>
      <c r="D3367" s="55">
        <v>1</v>
      </c>
      <c r="E3367" s="78"/>
      <c r="F3367" s="34"/>
      <c r="G3367" s="35"/>
      <c r="H3367" s="36"/>
      <c r="I3367" s="37"/>
      <c r="J3367" s="37"/>
      <c r="K3367" s="38"/>
      <c r="L3367" s="38"/>
      <c r="M3367" s="38"/>
      <c r="N3367" s="36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</row>
    <row r="3368" spans="1:28" s="39" customFormat="1" ht="61.75" hidden="1" outlineLevel="1" x14ac:dyDescent="0.35">
      <c r="A3368" s="74"/>
      <c r="B3368" s="48" t="s">
        <v>1147</v>
      </c>
      <c r="C3368" s="49" t="s">
        <v>58</v>
      </c>
      <c r="D3368" s="55">
        <v>2</v>
      </c>
      <c r="E3368" s="78"/>
      <c r="F3368" s="34"/>
      <c r="G3368" s="35"/>
      <c r="H3368" s="36"/>
      <c r="I3368" s="37"/>
      <c r="J3368" s="37"/>
      <c r="K3368" s="38"/>
      <c r="L3368" s="38"/>
      <c r="M3368" s="38"/>
      <c r="N3368" s="36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</row>
    <row r="3369" spans="1:28" s="39" customFormat="1" ht="61.75" hidden="1" outlineLevel="1" x14ac:dyDescent="0.35">
      <c r="A3369" s="74"/>
      <c r="B3369" s="48" t="s">
        <v>1148</v>
      </c>
      <c r="C3369" s="49" t="s">
        <v>58</v>
      </c>
      <c r="D3369" s="55">
        <v>2</v>
      </c>
      <c r="E3369" s="78"/>
      <c r="F3369" s="34"/>
      <c r="G3369" s="35"/>
      <c r="H3369" s="36"/>
      <c r="I3369" s="37"/>
      <c r="J3369" s="37"/>
      <c r="K3369" s="38"/>
      <c r="L3369" s="38"/>
      <c r="M3369" s="38"/>
      <c r="N3369" s="36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</row>
    <row r="3370" spans="1:28" s="39" customFormat="1" ht="61.75" hidden="1" outlineLevel="1" x14ac:dyDescent="0.35">
      <c r="A3370" s="74"/>
      <c r="B3370" s="48" t="s">
        <v>1149</v>
      </c>
      <c r="C3370" s="49" t="s">
        <v>58</v>
      </c>
      <c r="D3370" s="55">
        <v>1</v>
      </c>
      <c r="E3370" s="78"/>
      <c r="F3370" s="34"/>
      <c r="G3370" s="35"/>
      <c r="H3370" s="36"/>
      <c r="I3370" s="37"/>
      <c r="J3370" s="37"/>
      <c r="K3370" s="38"/>
      <c r="L3370" s="38"/>
      <c r="M3370" s="38"/>
      <c r="N3370" s="36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</row>
    <row r="3371" spans="1:28" s="39" customFormat="1" ht="77.150000000000006" hidden="1" outlineLevel="1" x14ac:dyDescent="0.35">
      <c r="A3371" s="74"/>
      <c r="B3371" s="48" t="s">
        <v>1150</v>
      </c>
      <c r="C3371" s="49" t="s">
        <v>58</v>
      </c>
      <c r="D3371" s="55">
        <v>2</v>
      </c>
      <c r="E3371" s="78"/>
      <c r="F3371" s="34"/>
      <c r="G3371" s="35"/>
      <c r="H3371" s="36"/>
      <c r="I3371" s="37"/>
      <c r="J3371" s="37"/>
      <c r="K3371" s="38"/>
      <c r="L3371" s="38"/>
      <c r="M3371" s="38"/>
      <c r="N3371" s="36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</row>
    <row r="3372" spans="1:28" s="39" customFormat="1" ht="61.75" hidden="1" outlineLevel="1" x14ac:dyDescent="0.35">
      <c r="A3372" s="74"/>
      <c r="B3372" s="48" t="s">
        <v>1151</v>
      </c>
      <c r="C3372" s="49" t="s">
        <v>251</v>
      </c>
      <c r="D3372" s="55">
        <v>1242</v>
      </c>
      <c r="E3372" s="78"/>
      <c r="F3372" s="34"/>
      <c r="G3372" s="35"/>
      <c r="H3372" s="36"/>
      <c r="I3372" s="37"/>
      <c r="J3372" s="37"/>
      <c r="K3372" s="38"/>
      <c r="L3372" s="38"/>
      <c r="M3372" s="38"/>
      <c r="N3372" s="36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</row>
    <row r="3373" spans="1:28" s="39" customFormat="1" ht="46.3" hidden="1" outlineLevel="1" x14ac:dyDescent="0.35">
      <c r="A3373" s="74"/>
      <c r="B3373" s="48" t="s">
        <v>1152</v>
      </c>
      <c r="C3373" s="49" t="s">
        <v>251</v>
      </c>
      <c r="D3373" s="55">
        <v>1176</v>
      </c>
      <c r="E3373" s="78"/>
      <c r="F3373" s="34"/>
      <c r="G3373" s="35"/>
      <c r="H3373" s="36"/>
      <c r="I3373" s="37"/>
      <c r="J3373" s="37"/>
      <c r="K3373" s="38"/>
      <c r="L3373" s="38"/>
      <c r="M3373" s="38"/>
      <c r="N3373" s="36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</row>
    <row r="3374" spans="1:28" s="33" customFormat="1" ht="31" customHeight="1" collapsed="1" x14ac:dyDescent="0.35">
      <c r="A3374" s="24">
        <f>A3355+1</f>
        <v>1411</v>
      </c>
      <c r="B3374" s="59" t="s">
        <v>1153</v>
      </c>
      <c r="C3374" s="26" t="s">
        <v>132</v>
      </c>
      <c r="D3374" s="73">
        <v>600</v>
      </c>
      <c r="E3374" s="28"/>
      <c r="F3374" s="29"/>
      <c r="G3374" s="30"/>
      <c r="H3374" s="31"/>
      <c r="I3374" s="30"/>
      <c r="J3374" s="30"/>
      <c r="K3374" s="32"/>
      <c r="L3374" s="32"/>
      <c r="M3374" s="32"/>
      <c r="N3374" s="31"/>
      <c r="O3374" s="32"/>
      <c r="P3374" s="32"/>
      <c r="Q3374" s="32"/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</row>
    <row r="3375" spans="1:28" s="39" customFormat="1" ht="61.75" hidden="1" outlineLevel="1" x14ac:dyDescent="0.35">
      <c r="A3375" s="74"/>
      <c r="B3375" s="48" t="s">
        <v>1154</v>
      </c>
      <c r="C3375" s="49" t="s">
        <v>251</v>
      </c>
      <c r="D3375" s="55">
        <v>207</v>
      </c>
      <c r="E3375" s="78"/>
      <c r="F3375" s="34"/>
      <c r="G3375" s="35"/>
      <c r="H3375" s="36"/>
      <c r="I3375" s="37"/>
      <c r="J3375" s="37"/>
      <c r="K3375" s="38"/>
      <c r="L3375" s="38"/>
      <c r="M3375" s="38"/>
      <c r="N3375" s="36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</row>
    <row r="3376" spans="1:28" s="39" customFormat="1" ht="61.75" hidden="1" outlineLevel="1" x14ac:dyDescent="0.35">
      <c r="A3376" s="74"/>
      <c r="B3376" s="48" t="s">
        <v>1155</v>
      </c>
      <c r="C3376" s="49" t="s">
        <v>251</v>
      </c>
      <c r="D3376" s="55">
        <v>4</v>
      </c>
      <c r="E3376" s="78"/>
      <c r="F3376" s="34"/>
      <c r="G3376" s="35"/>
      <c r="H3376" s="36"/>
      <c r="I3376" s="37"/>
      <c r="J3376" s="37"/>
      <c r="K3376" s="38"/>
      <c r="L3376" s="38"/>
      <c r="M3376" s="38"/>
      <c r="N3376" s="36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</row>
    <row r="3377" spans="1:28" s="39" customFormat="1" ht="46.3" hidden="1" outlineLevel="1" x14ac:dyDescent="0.35">
      <c r="A3377" s="74"/>
      <c r="B3377" s="48" t="s">
        <v>1156</v>
      </c>
      <c r="C3377" s="49" t="s">
        <v>251</v>
      </c>
      <c r="D3377" s="55">
        <v>59</v>
      </c>
      <c r="E3377" s="78"/>
      <c r="F3377" s="34"/>
      <c r="G3377" s="35"/>
      <c r="H3377" s="36"/>
      <c r="I3377" s="37"/>
      <c r="J3377" s="37"/>
      <c r="K3377" s="38"/>
      <c r="L3377" s="38"/>
      <c r="M3377" s="38"/>
      <c r="N3377" s="36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</row>
    <row r="3378" spans="1:28" s="39" customFormat="1" ht="46.3" hidden="1" outlineLevel="1" x14ac:dyDescent="0.35">
      <c r="A3378" s="74"/>
      <c r="B3378" s="48" t="s">
        <v>1157</v>
      </c>
      <c r="C3378" s="49" t="s">
        <v>251</v>
      </c>
      <c r="D3378" s="55">
        <v>1</v>
      </c>
      <c r="E3378" s="78"/>
      <c r="F3378" s="34"/>
      <c r="G3378" s="35"/>
      <c r="H3378" s="36"/>
      <c r="I3378" s="37"/>
      <c r="J3378" s="37"/>
      <c r="K3378" s="38"/>
      <c r="L3378" s="38"/>
      <c r="M3378" s="38"/>
      <c r="N3378" s="36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</row>
    <row r="3379" spans="1:28" s="33" customFormat="1" ht="31" customHeight="1" collapsed="1" x14ac:dyDescent="0.35">
      <c r="A3379" s="24">
        <f>A3374+1</f>
        <v>1412</v>
      </c>
      <c r="B3379" s="59" t="s">
        <v>1158</v>
      </c>
      <c r="C3379" s="26" t="s">
        <v>58</v>
      </c>
      <c r="D3379" s="73">
        <v>600</v>
      </c>
      <c r="E3379" s="28"/>
      <c r="F3379" s="29"/>
      <c r="G3379" s="30"/>
      <c r="H3379" s="31"/>
      <c r="I3379" s="30"/>
      <c r="J3379" s="30"/>
      <c r="K3379" s="32"/>
      <c r="L3379" s="32"/>
      <c r="M3379" s="32"/>
      <c r="N3379" s="31"/>
      <c r="O3379" s="32"/>
      <c r="P3379" s="32"/>
      <c r="Q3379" s="32"/>
      <c r="R3379" s="32"/>
      <c r="S3379" s="32"/>
      <c r="T3379" s="32"/>
      <c r="U3379" s="32"/>
      <c r="V3379" s="32"/>
      <c r="W3379" s="32"/>
      <c r="X3379" s="32"/>
      <c r="Y3379" s="32"/>
      <c r="Z3379" s="32"/>
      <c r="AA3379" s="32"/>
      <c r="AB3379" s="32"/>
    </row>
    <row r="3380" spans="1:28" s="39" customFormat="1" ht="231.45" hidden="1" outlineLevel="1" x14ac:dyDescent="0.35">
      <c r="A3380" s="74"/>
      <c r="B3380" s="48" t="s">
        <v>1159</v>
      </c>
      <c r="C3380" s="49" t="s">
        <v>251</v>
      </c>
      <c r="D3380" s="55">
        <v>1</v>
      </c>
      <c r="E3380" s="78"/>
      <c r="F3380" s="34"/>
      <c r="G3380" s="35"/>
      <c r="H3380" s="36"/>
      <c r="I3380" s="37"/>
      <c r="J3380" s="37"/>
      <c r="K3380" s="38"/>
      <c r="L3380" s="38"/>
      <c r="M3380" s="38"/>
      <c r="N3380" s="36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</row>
    <row r="3381" spans="1:28" s="33" customFormat="1" ht="31" customHeight="1" collapsed="1" x14ac:dyDescent="0.35">
      <c r="A3381" s="24">
        <f>A3379+1</f>
        <v>1413</v>
      </c>
      <c r="B3381" s="59" t="s">
        <v>1160</v>
      </c>
      <c r="C3381" s="26" t="s">
        <v>1161</v>
      </c>
      <c r="D3381" s="125" t="s">
        <v>1162</v>
      </c>
      <c r="E3381" s="28"/>
      <c r="F3381" s="29"/>
      <c r="G3381" s="30"/>
      <c r="H3381" s="31"/>
      <c r="I3381" s="30"/>
      <c r="J3381" s="30"/>
      <c r="K3381" s="32"/>
      <c r="L3381" s="32"/>
      <c r="M3381" s="32"/>
      <c r="N3381" s="31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</row>
    <row r="3382" spans="1:28" s="39" customFormat="1" ht="172.5" hidden="1" customHeight="1" outlineLevel="1" x14ac:dyDescent="0.35">
      <c r="A3382" s="74"/>
      <c r="B3382" s="48" t="s">
        <v>1163</v>
      </c>
      <c r="C3382" s="49" t="s">
        <v>251</v>
      </c>
      <c r="D3382" s="55">
        <v>1</v>
      </c>
      <c r="E3382" s="78"/>
      <c r="F3382" s="34"/>
      <c r="G3382" s="35"/>
      <c r="H3382" s="36"/>
      <c r="I3382" s="37"/>
      <c r="J3382" s="37"/>
      <c r="K3382" s="38"/>
      <c r="L3382" s="38"/>
      <c r="M3382" s="38"/>
      <c r="N3382" s="36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</row>
    <row r="3383" spans="1:28" s="39" customFormat="1" ht="30" customHeight="1" collapsed="1" x14ac:dyDescent="0.35">
      <c r="A3383" s="153" t="s">
        <v>1164</v>
      </c>
      <c r="B3383" s="153"/>
      <c r="C3383" s="153"/>
      <c r="D3383" s="153"/>
      <c r="E3383" s="153"/>
      <c r="F3383" s="34"/>
      <c r="G3383" s="35"/>
      <c r="H3383" s="36"/>
      <c r="I3383" s="37"/>
      <c r="J3383" s="37"/>
      <c r="K3383" s="38"/>
      <c r="L3383" s="38"/>
      <c r="M3383" s="38"/>
      <c r="N3383" s="36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</row>
    <row r="3384" spans="1:28" s="39" customFormat="1" ht="21" customHeight="1" x14ac:dyDescent="0.35">
      <c r="A3384" s="158" t="s">
        <v>1165</v>
      </c>
      <c r="B3384" s="158"/>
      <c r="C3384" s="158"/>
      <c r="D3384" s="158"/>
      <c r="E3384" s="158"/>
      <c r="F3384" s="34"/>
      <c r="G3384" s="35"/>
      <c r="H3384" s="36"/>
      <c r="I3384" s="37"/>
      <c r="J3384" s="37"/>
      <c r="K3384" s="38"/>
      <c r="L3384" s="38"/>
      <c r="M3384" s="38"/>
      <c r="N3384" s="36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</row>
    <row r="3385" spans="1:28" s="33" customFormat="1" ht="31" customHeight="1" x14ac:dyDescent="0.35">
      <c r="A3385" s="24">
        <f>A3381+1</f>
        <v>1414</v>
      </c>
      <c r="B3385" s="59" t="s">
        <v>501</v>
      </c>
      <c r="C3385" s="26" t="s">
        <v>58</v>
      </c>
      <c r="D3385" s="73">
        <v>2</v>
      </c>
      <c r="E3385" s="28"/>
      <c r="F3385" s="29"/>
      <c r="G3385" s="30"/>
      <c r="H3385" s="31"/>
      <c r="I3385" s="30"/>
      <c r="J3385" s="30"/>
      <c r="K3385" s="32"/>
      <c r="L3385" s="32"/>
      <c r="M3385" s="32"/>
      <c r="N3385" s="31"/>
      <c r="O3385" s="32"/>
      <c r="P3385" s="32"/>
      <c r="Q3385" s="32"/>
      <c r="R3385" s="32"/>
      <c r="S3385" s="32"/>
      <c r="T3385" s="32"/>
      <c r="U3385" s="32"/>
      <c r="V3385" s="32"/>
      <c r="W3385" s="32"/>
      <c r="X3385" s="32"/>
      <c r="Y3385" s="32"/>
      <c r="Z3385" s="32"/>
      <c r="AA3385" s="32"/>
      <c r="AB3385" s="32"/>
    </row>
    <row r="3386" spans="1:28" s="39" customFormat="1" ht="46.3" hidden="1" outlineLevel="1" x14ac:dyDescent="0.35">
      <c r="A3386" s="74"/>
      <c r="B3386" s="48" t="s">
        <v>502</v>
      </c>
      <c r="C3386" s="49" t="s">
        <v>251</v>
      </c>
      <c r="D3386" s="55">
        <v>2</v>
      </c>
      <c r="E3386" s="78">
        <v>5.6000000000000001E-2</v>
      </c>
      <c r="F3386" s="34"/>
      <c r="G3386" s="35"/>
      <c r="H3386" s="36"/>
      <c r="I3386" s="37"/>
      <c r="J3386" s="37"/>
      <c r="K3386" s="38"/>
      <c r="L3386" s="38"/>
      <c r="M3386" s="38"/>
      <c r="N3386" s="36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</row>
    <row r="3387" spans="1:28" s="33" customFormat="1" ht="31" customHeight="1" collapsed="1" x14ac:dyDescent="0.35">
      <c r="A3387" s="24">
        <f>A3385+1</f>
        <v>1415</v>
      </c>
      <c r="B3387" s="59" t="s">
        <v>504</v>
      </c>
      <c r="C3387" s="26" t="s">
        <v>58</v>
      </c>
      <c r="D3387" s="73">
        <v>3</v>
      </c>
      <c r="E3387" s="28"/>
      <c r="F3387" s="29"/>
      <c r="G3387" s="30"/>
      <c r="H3387" s="31"/>
      <c r="I3387" s="30"/>
      <c r="J3387" s="30"/>
      <c r="K3387" s="32"/>
      <c r="L3387" s="32"/>
      <c r="M3387" s="32"/>
      <c r="N3387" s="31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</row>
    <row r="3388" spans="1:28" s="39" customFormat="1" ht="46.3" hidden="1" outlineLevel="1" x14ac:dyDescent="0.35">
      <c r="A3388" s="74"/>
      <c r="B3388" s="48" t="s">
        <v>505</v>
      </c>
      <c r="C3388" s="49" t="s">
        <v>251</v>
      </c>
      <c r="D3388" s="55">
        <v>2</v>
      </c>
      <c r="E3388" s="78">
        <v>0.1</v>
      </c>
      <c r="F3388" s="34"/>
      <c r="G3388" s="35"/>
      <c r="H3388" s="36"/>
      <c r="I3388" s="37"/>
      <c r="J3388" s="37"/>
      <c r="K3388" s="38"/>
      <c r="L3388" s="38"/>
      <c r="M3388" s="38"/>
      <c r="N3388" s="36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</row>
    <row r="3389" spans="1:28" s="39" customFormat="1" ht="46.3" hidden="1" outlineLevel="1" x14ac:dyDescent="0.35">
      <c r="A3389" s="74"/>
      <c r="B3389" s="48" t="s">
        <v>1166</v>
      </c>
      <c r="C3389" s="49" t="s">
        <v>251</v>
      </c>
      <c r="D3389" s="55">
        <v>1</v>
      </c>
      <c r="E3389" s="78">
        <v>2.5000000000000001E-2</v>
      </c>
      <c r="F3389" s="34"/>
      <c r="G3389" s="35"/>
      <c r="H3389" s="36"/>
      <c r="I3389" s="37"/>
      <c r="J3389" s="37"/>
      <c r="K3389" s="38"/>
      <c r="L3389" s="38"/>
      <c r="M3389" s="38"/>
      <c r="N3389" s="36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</row>
    <row r="3390" spans="1:28" s="33" customFormat="1" ht="31" customHeight="1" collapsed="1" x14ac:dyDescent="0.35">
      <c r="A3390" s="24">
        <f>A3387+1</f>
        <v>1416</v>
      </c>
      <c r="B3390" s="59" t="s">
        <v>506</v>
      </c>
      <c r="C3390" s="26" t="s">
        <v>58</v>
      </c>
      <c r="D3390" s="73">
        <v>2</v>
      </c>
      <c r="E3390" s="28"/>
      <c r="F3390" s="29"/>
      <c r="G3390" s="30"/>
      <c r="H3390" s="31"/>
      <c r="I3390" s="30"/>
      <c r="J3390" s="30"/>
      <c r="K3390" s="32"/>
      <c r="L3390" s="32"/>
      <c r="M3390" s="32"/>
      <c r="N3390" s="31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</row>
    <row r="3391" spans="1:28" s="39" customFormat="1" ht="46.3" hidden="1" outlineLevel="1" x14ac:dyDescent="0.35">
      <c r="A3391" s="74"/>
      <c r="B3391" s="48" t="s">
        <v>507</v>
      </c>
      <c r="C3391" s="49" t="s">
        <v>251</v>
      </c>
      <c r="D3391" s="55">
        <v>2</v>
      </c>
      <c r="E3391" s="78">
        <v>0.108</v>
      </c>
      <c r="F3391" s="34"/>
      <c r="G3391" s="35"/>
      <c r="H3391" s="36"/>
      <c r="I3391" s="37"/>
      <c r="J3391" s="37"/>
      <c r="K3391" s="38"/>
      <c r="L3391" s="38"/>
      <c r="M3391" s="38"/>
      <c r="N3391" s="36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</row>
    <row r="3392" spans="1:28" s="33" customFormat="1" ht="31" customHeight="1" collapsed="1" x14ac:dyDescent="0.35">
      <c r="A3392" s="24">
        <f>A3390+1</f>
        <v>1417</v>
      </c>
      <c r="B3392" s="59" t="s">
        <v>1167</v>
      </c>
      <c r="C3392" s="26" t="s">
        <v>58</v>
      </c>
      <c r="D3392" s="73">
        <v>2</v>
      </c>
      <c r="E3392" s="28"/>
      <c r="F3392" s="29"/>
      <c r="G3392" s="30"/>
      <c r="H3392" s="31"/>
      <c r="I3392" s="30"/>
      <c r="J3392" s="30"/>
      <c r="K3392" s="32"/>
      <c r="L3392" s="32"/>
      <c r="M3392" s="32"/>
      <c r="N3392" s="31"/>
      <c r="O3392" s="32"/>
      <c r="P3392" s="32"/>
      <c r="Q3392" s="32"/>
      <c r="R3392" s="32"/>
      <c r="S3392" s="32"/>
      <c r="T3392" s="32"/>
      <c r="U3392" s="32"/>
      <c r="V3392" s="32"/>
      <c r="W3392" s="32"/>
      <c r="X3392" s="32"/>
      <c r="Y3392" s="32"/>
      <c r="Z3392" s="32"/>
      <c r="AA3392" s="32"/>
      <c r="AB3392" s="32"/>
    </row>
    <row r="3393" spans="1:28" s="39" customFormat="1" ht="46.3" hidden="1" outlineLevel="1" x14ac:dyDescent="0.35">
      <c r="A3393" s="74"/>
      <c r="B3393" s="48" t="s">
        <v>1168</v>
      </c>
      <c r="C3393" s="49" t="s">
        <v>251</v>
      </c>
      <c r="D3393" s="55">
        <v>2</v>
      </c>
      <c r="E3393" s="78">
        <v>0.108</v>
      </c>
      <c r="F3393" s="34"/>
      <c r="G3393" s="35"/>
      <c r="H3393" s="36"/>
      <c r="I3393" s="37"/>
      <c r="J3393" s="37"/>
      <c r="K3393" s="38"/>
      <c r="L3393" s="38"/>
      <c r="M3393" s="38"/>
      <c r="N3393" s="36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</row>
    <row r="3394" spans="1:28" s="33" customFormat="1" ht="31" customHeight="1" collapsed="1" x14ac:dyDescent="0.35">
      <c r="A3394" s="24">
        <f>A3392+1</f>
        <v>1418</v>
      </c>
      <c r="B3394" s="59" t="s">
        <v>508</v>
      </c>
      <c r="C3394" s="26" t="s">
        <v>58</v>
      </c>
      <c r="D3394" s="73">
        <v>1</v>
      </c>
      <c r="E3394" s="28"/>
      <c r="F3394" s="29"/>
      <c r="G3394" s="30"/>
      <c r="H3394" s="31"/>
      <c r="I3394" s="30"/>
      <c r="J3394" s="30"/>
      <c r="K3394" s="32"/>
      <c r="L3394" s="32"/>
      <c r="M3394" s="32"/>
      <c r="N3394" s="31"/>
      <c r="O3394" s="32"/>
      <c r="P3394" s="32"/>
      <c r="Q3394" s="32"/>
      <c r="R3394" s="32"/>
      <c r="S3394" s="32"/>
      <c r="T3394" s="32"/>
      <c r="U3394" s="32"/>
      <c r="V3394" s="32"/>
      <c r="W3394" s="32"/>
      <c r="X3394" s="32"/>
      <c r="Y3394" s="32"/>
      <c r="Z3394" s="32"/>
      <c r="AA3394" s="32"/>
      <c r="AB3394" s="32"/>
    </row>
    <row r="3395" spans="1:28" s="39" customFormat="1" ht="46.3" hidden="1" outlineLevel="1" x14ac:dyDescent="0.35">
      <c r="A3395" s="74"/>
      <c r="B3395" s="48" t="s">
        <v>509</v>
      </c>
      <c r="C3395" s="49" t="s">
        <v>251</v>
      </c>
      <c r="D3395" s="55">
        <v>1</v>
      </c>
      <c r="E3395" s="78">
        <v>5.6000000000000001E-2</v>
      </c>
      <c r="F3395" s="34"/>
      <c r="G3395" s="35"/>
      <c r="H3395" s="36"/>
      <c r="I3395" s="37"/>
      <c r="J3395" s="37"/>
      <c r="K3395" s="38"/>
      <c r="L3395" s="38"/>
      <c r="M3395" s="38"/>
      <c r="N3395" s="36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</row>
    <row r="3396" spans="1:28" s="33" customFormat="1" ht="31" customHeight="1" collapsed="1" x14ac:dyDescent="0.35">
      <c r="A3396" s="24">
        <f>A3394+1</f>
        <v>1419</v>
      </c>
      <c r="B3396" s="59" t="s">
        <v>1169</v>
      </c>
      <c r="C3396" s="26" t="s">
        <v>58</v>
      </c>
      <c r="D3396" s="73">
        <v>2</v>
      </c>
      <c r="E3396" s="28"/>
      <c r="F3396" s="29"/>
      <c r="G3396" s="30"/>
      <c r="H3396" s="31"/>
      <c r="I3396" s="30"/>
      <c r="J3396" s="30"/>
      <c r="K3396" s="32"/>
      <c r="L3396" s="32"/>
      <c r="M3396" s="32"/>
      <c r="N3396" s="31"/>
      <c r="O3396" s="32"/>
      <c r="P3396" s="32"/>
      <c r="Q3396" s="32"/>
      <c r="R3396" s="32"/>
      <c r="S3396" s="32"/>
      <c r="T3396" s="32"/>
      <c r="U3396" s="32"/>
      <c r="V3396" s="32"/>
      <c r="W3396" s="32"/>
      <c r="X3396" s="32"/>
      <c r="Y3396" s="32"/>
      <c r="Z3396" s="32"/>
      <c r="AA3396" s="32"/>
      <c r="AB3396" s="32"/>
    </row>
    <row r="3397" spans="1:28" s="39" customFormat="1" ht="46.3" hidden="1" outlineLevel="1" x14ac:dyDescent="0.35">
      <c r="A3397" s="74"/>
      <c r="B3397" s="48" t="s">
        <v>1170</v>
      </c>
      <c r="C3397" s="49" t="s">
        <v>251</v>
      </c>
      <c r="D3397" s="55">
        <v>2</v>
      </c>
      <c r="E3397" s="78">
        <v>5.6000000000000001E-2</v>
      </c>
      <c r="F3397" s="34"/>
      <c r="G3397" s="35"/>
      <c r="H3397" s="36"/>
      <c r="I3397" s="37"/>
      <c r="J3397" s="37"/>
      <c r="K3397" s="38"/>
      <c r="L3397" s="38"/>
      <c r="M3397" s="38"/>
      <c r="N3397" s="36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</row>
    <row r="3398" spans="1:28" s="33" customFormat="1" ht="30.9" collapsed="1" x14ac:dyDescent="0.35">
      <c r="A3398" s="24">
        <f>A3396+1</f>
        <v>1420</v>
      </c>
      <c r="B3398" s="71" t="s">
        <v>517</v>
      </c>
      <c r="C3398" s="40" t="s">
        <v>132</v>
      </c>
      <c r="D3398" s="108">
        <v>280.60000000000002</v>
      </c>
      <c r="E3398" s="79" t="s">
        <v>151</v>
      </c>
      <c r="F3398" s="29"/>
      <c r="G3398" s="30"/>
      <c r="H3398" s="31"/>
      <c r="I3398" s="30"/>
      <c r="J3398" s="30"/>
      <c r="K3398" s="32"/>
      <c r="L3398" s="32"/>
      <c r="M3398" s="32"/>
      <c r="N3398" s="31"/>
      <c r="O3398" s="32"/>
      <c r="P3398" s="32"/>
      <c r="Q3398" s="32"/>
      <c r="R3398" s="32"/>
      <c r="S3398" s="32"/>
      <c r="T3398" s="32"/>
      <c r="U3398" s="32"/>
      <c r="V3398" s="32"/>
      <c r="W3398" s="32"/>
      <c r="X3398" s="32"/>
      <c r="Y3398" s="32"/>
      <c r="Z3398" s="32"/>
      <c r="AA3398" s="32"/>
      <c r="AB3398" s="32"/>
    </row>
    <row r="3399" spans="1:28" s="39" customFormat="1" ht="36" hidden="1" customHeight="1" outlineLevel="1" x14ac:dyDescent="0.35">
      <c r="A3399" s="74"/>
      <c r="B3399" s="48" t="s">
        <v>518</v>
      </c>
      <c r="C3399" s="49" t="s">
        <v>14</v>
      </c>
      <c r="D3399" s="65">
        <f>280.6*2.76/1000*1.1</f>
        <v>0.85190160000000015</v>
      </c>
      <c r="E3399" s="76"/>
      <c r="F3399" s="34"/>
      <c r="G3399" s="35"/>
      <c r="H3399" s="36"/>
      <c r="I3399" s="37"/>
      <c r="J3399" s="37"/>
      <c r="K3399" s="38"/>
      <c r="L3399" s="38"/>
      <c r="M3399" s="38"/>
      <c r="N3399" s="36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</row>
    <row r="3400" spans="1:28" s="58" customFormat="1" ht="30" hidden="1" customHeight="1" outlineLevel="1" x14ac:dyDescent="0.4">
      <c r="A3400" s="54"/>
      <c r="B3400" s="48" t="s">
        <v>519</v>
      </c>
      <c r="C3400" s="49" t="s">
        <v>58</v>
      </c>
      <c r="D3400" s="55">
        <v>2</v>
      </c>
      <c r="E3400" s="51">
        <v>1E-3</v>
      </c>
      <c r="F3400" s="57"/>
    </row>
    <row r="3401" spans="1:28" s="58" customFormat="1" ht="30" hidden="1" customHeight="1" outlineLevel="1" x14ac:dyDescent="0.4">
      <c r="A3401" s="54"/>
      <c r="B3401" s="48" t="s">
        <v>521</v>
      </c>
      <c r="C3401" s="49" t="s">
        <v>58</v>
      </c>
      <c r="D3401" s="55">
        <v>49</v>
      </c>
      <c r="E3401" s="51">
        <v>9.8000000000000004E-2</v>
      </c>
      <c r="F3401" s="57"/>
    </row>
    <row r="3402" spans="1:28" s="39" customFormat="1" ht="36" hidden="1" customHeight="1" outlineLevel="1" x14ac:dyDescent="0.35">
      <c r="A3402" s="74"/>
      <c r="B3402" s="48" t="s">
        <v>834</v>
      </c>
      <c r="C3402" s="49" t="s">
        <v>58</v>
      </c>
      <c r="D3402" s="49">
        <v>2</v>
      </c>
      <c r="E3402" s="78">
        <v>1E-3</v>
      </c>
      <c r="F3402" s="34"/>
      <c r="G3402" s="35"/>
      <c r="H3402" s="36"/>
      <c r="I3402" s="37"/>
      <c r="J3402" s="37"/>
      <c r="K3402" s="38"/>
      <c r="L3402" s="38"/>
      <c r="M3402" s="38"/>
      <c r="N3402" s="36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</row>
    <row r="3403" spans="1:28" s="33" customFormat="1" ht="30.9" collapsed="1" x14ac:dyDescent="0.35">
      <c r="A3403" s="24">
        <f>A3398+1</f>
        <v>1421</v>
      </c>
      <c r="B3403" s="71" t="s">
        <v>523</v>
      </c>
      <c r="C3403" s="40" t="s">
        <v>132</v>
      </c>
      <c r="D3403" s="108">
        <v>404.1</v>
      </c>
      <c r="E3403" s="79" t="s">
        <v>151</v>
      </c>
      <c r="F3403" s="29"/>
      <c r="G3403" s="30"/>
      <c r="H3403" s="31"/>
      <c r="I3403" s="30"/>
      <c r="J3403" s="30"/>
      <c r="K3403" s="32"/>
      <c r="L3403" s="32"/>
      <c r="M3403" s="32"/>
      <c r="N3403" s="31"/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2"/>
      <c r="AA3403" s="32"/>
      <c r="AB3403" s="32"/>
    </row>
    <row r="3404" spans="1:28" s="39" customFormat="1" ht="36" hidden="1" customHeight="1" outlineLevel="1" x14ac:dyDescent="0.35">
      <c r="A3404" s="74"/>
      <c r="B3404" s="48" t="s">
        <v>524</v>
      </c>
      <c r="C3404" s="49" t="s">
        <v>14</v>
      </c>
      <c r="D3404" s="65">
        <f>404.1*5.23/1000*1.1</f>
        <v>2.3247873000000006</v>
      </c>
      <c r="E3404" s="76"/>
      <c r="F3404" s="34"/>
      <c r="G3404" s="35"/>
      <c r="H3404" s="36"/>
      <c r="I3404" s="37"/>
      <c r="J3404" s="37"/>
      <c r="K3404" s="38"/>
      <c r="L3404" s="38"/>
      <c r="M3404" s="38"/>
      <c r="N3404" s="36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</row>
    <row r="3405" spans="1:28" s="58" customFormat="1" ht="30" hidden="1" customHeight="1" outlineLevel="1" x14ac:dyDescent="0.4">
      <c r="A3405" s="54"/>
      <c r="B3405" s="48" t="s">
        <v>525</v>
      </c>
      <c r="C3405" s="49" t="s">
        <v>58</v>
      </c>
      <c r="D3405" s="55">
        <v>58</v>
      </c>
      <c r="E3405" s="51">
        <v>4.1000000000000002E-2</v>
      </c>
      <c r="F3405" s="57"/>
    </row>
    <row r="3406" spans="1:28" s="39" customFormat="1" ht="36" hidden="1" customHeight="1" outlineLevel="1" x14ac:dyDescent="0.35">
      <c r="A3406" s="74"/>
      <c r="B3406" s="48" t="s">
        <v>1171</v>
      </c>
      <c r="C3406" s="49" t="s">
        <v>58</v>
      </c>
      <c r="D3406" s="49">
        <v>1</v>
      </c>
      <c r="E3406" s="78">
        <v>2E-3</v>
      </c>
      <c r="F3406" s="34"/>
      <c r="G3406" s="35"/>
      <c r="H3406" s="36"/>
      <c r="I3406" s="37"/>
      <c r="J3406" s="37"/>
      <c r="K3406" s="38"/>
      <c r="L3406" s="38"/>
      <c r="M3406" s="38"/>
      <c r="N3406" s="36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</row>
    <row r="3407" spans="1:28" s="39" customFormat="1" ht="36" hidden="1" customHeight="1" outlineLevel="1" x14ac:dyDescent="0.35">
      <c r="A3407" s="74"/>
      <c r="B3407" s="48" t="s">
        <v>1172</v>
      </c>
      <c r="C3407" s="49" t="s">
        <v>58</v>
      </c>
      <c r="D3407" s="49">
        <v>1</v>
      </c>
      <c r="E3407" s="78">
        <v>2E-3</v>
      </c>
      <c r="F3407" s="34"/>
      <c r="G3407" s="35"/>
      <c r="H3407" s="36"/>
      <c r="I3407" s="37"/>
      <c r="J3407" s="37"/>
      <c r="K3407" s="38"/>
      <c r="L3407" s="38"/>
      <c r="M3407" s="38"/>
      <c r="N3407" s="36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</row>
    <row r="3408" spans="1:28" s="39" customFormat="1" ht="36" hidden="1" customHeight="1" outlineLevel="1" x14ac:dyDescent="0.35">
      <c r="A3408" s="74"/>
      <c r="B3408" s="48" t="s">
        <v>1173</v>
      </c>
      <c r="C3408" s="49" t="s">
        <v>58</v>
      </c>
      <c r="D3408" s="49">
        <v>4</v>
      </c>
      <c r="E3408" s="78">
        <v>5.0000000000000001E-3</v>
      </c>
      <c r="F3408" s="34"/>
      <c r="G3408" s="35"/>
      <c r="H3408" s="36"/>
      <c r="I3408" s="37"/>
      <c r="J3408" s="37"/>
      <c r="K3408" s="38"/>
      <c r="L3408" s="38"/>
      <c r="M3408" s="38"/>
      <c r="N3408" s="36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</row>
    <row r="3409" spans="1:28" s="39" customFormat="1" ht="36" hidden="1" customHeight="1" outlineLevel="1" x14ac:dyDescent="0.35">
      <c r="A3409" s="74"/>
      <c r="B3409" s="48" t="s">
        <v>527</v>
      </c>
      <c r="C3409" s="49" t="s">
        <v>58</v>
      </c>
      <c r="D3409" s="49">
        <v>4</v>
      </c>
      <c r="E3409" s="78">
        <v>1.6E-2</v>
      </c>
      <c r="F3409" s="34"/>
      <c r="G3409" s="35"/>
      <c r="H3409" s="36"/>
      <c r="I3409" s="37"/>
      <c r="J3409" s="37"/>
      <c r="K3409" s="38"/>
      <c r="L3409" s="38"/>
      <c r="M3409" s="38"/>
      <c r="N3409" s="36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</row>
    <row r="3410" spans="1:28" s="33" customFormat="1" ht="30.9" collapsed="1" x14ac:dyDescent="0.35">
      <c r="A3410" s="24">
        <f>A3403+1</f>
        <v>1422</v>
      </c>
      <c r="B3410" s="71" t="s">
        <v>528</v>
      </c>
      <c r="C3410" s="40" t="s">
        <v>132</v>
      </c>
      <c r="D3410" s="108">
        <v>240.1</v>
      </c>
      <c r="E3410" s="79" t="s">
        <v>151</v>
      </c>
      <c r="F3410" s="29"/>
      <c r="G3410" s="30"/>
      <c r="H3410" s="31"/>
      <c r="I3410" s="30"/>
      <c r="J3410" s="30"/>
      <c r="K3410" s="32"/>
      <c r="L3410" s="32"/>
      <c r="M3410" s="32"/>
      <c r="N3410" s="31"/>
      <c r="O3410" s="32"/>
      <c r="P3410" s="32"/>
      <c r="Q3410" s="32"/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</row>
    <row r="3411" spans="1:28" s="39" customFormat="1" ht="36" hidden="1" customHeight="1" outlineLevel="1" x14ac:dyDescent="0.35">
      <c r="A3411" s="74"/>
      <c r="B3411" s="48" t="s">
        <v>529</v>
      </c>
      <c r="C3411" s="49" t="s">
        <v>14</v>
      </c>
      <c r="D3411" s="65">
        <f>240.1*12.28/1000*1.1</f>
        <v>3.2432707999999999</v>
      </c>
      <c r="E3411" s="76"/>
      <c r="F3411" s="34"/>
      <c r="G3411" s="35"/>
      <c r="H3411" s="36"/>
      <c r="I3411" s="37"/>
      <c r="J3411" s="37"/>
      <c r="K3411" s="38"/>
      <c r="L3411" s="38"/>
      <c r="M3411" s="38"/>
      <c r="N3411" s="36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</row>
    <row r="3412" spans="1:28" s="58" customFormat="1" ht="30" hidden="1" customHeight="1" outlineLevel="1" x14ac:dyDescent="0.4">
      <c r="A3412" s="54"/>
      <c r="B3412" s="48" t="s">
        <v>1174</v>
      </c>
      <c r="C3412" s="49" t="s">
        <v>58</v>
      </c>
      <c r="D3412" s="55">
        <v>2</v>
      </c>
      <c r="E3412" s="51">
        <v>2E-3</v>
      </c>
      <c r="F3412" s="57"/>
    </row>
    <row r="3413" spans="1:28" s="58" customFormat="1" ht="30" hidden="1" customHeight="1" outlineLevel="1" x14ac:dyDescent="0.4">
      <c r="A3413" s="54"/>
      <c r="B3413" s="48" t="s">
        <v>530</v>
      </c>
      <c r="C3413" s="49" t="s">
        <v>58</v>
      </c>
      <c r="D3413" s="55">
        <v>38</v>
      </c>
      <c r="E3413" s="51">
        <v>8.6999999999999994E-2</v>
      </c>
      <c r="F3413" s="57"/>
    </row>
    <row r="3414" spans="1:28" s="39" customFormat="1" ht="36" hidden="1" customHeight="1" outlineLevel="1" x14ac:dyDescent="0.35">
      <c r="A3414" s="74"/>
      <c r="B3414" s="48" t="s">
        <v>1175</v>
      </c>
      <c r="C3414" s="49" t="s">
        <v>58</v>
      </c>
      <c r="D3414" s="49">
        <v>4</v>
      </c>
      <c r="E3414" s="78">
        <v>8.0000000000000002E-3</v>
      </c>
      <c r="F3414" s="34"/>
      <c r="G3414" s="35"/>
      <c r="H3414" s="36"/>
      <c r="I3414" s="37"/>
      <c r="J3414" s="37"/>
      <c r="K3414" s="38"/>
      <c r="L3414" s="38"/>
      <c r="M3414" s="38"/>
      <c r="N3414" s="36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</row>
    <row r="3415" spans="1:28" s="39" customFormat="1" ht="36" hidden="1" customHeight="1" outlineLevel="1" x14ac:dyDescent="0.35">
      <c r="A3415" s="74"/>
      <c r="B3415" s="48" t="s">
        <v>1176</v>
      </c>
      <c r="C3415" s="49" t="s">
        <v>58</v>
      </c>
      <c r="D3415" s="49">
        <v>4</v>
      </c>
      <c r="E3415" s="78">
        <v>1.7999999999999999E-2</v>
      </c>
      <c r="F3415" s="34"/>
      <c r="G3415" s="35"/>
      <c r="H3415" s="36"/>
      <c r="I3415" s="37"/>
      <c r="J3415" s="37"/>
      <c r="K3415" s="38"/>
      <c r="L3415" s="38"/>
      <c r="M3415" s="38"/>
      <c r="N3415" s="36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</row>
    <row r="3416" spans="1:28" s="39" customFormat="1" ht="36" hidden="1" customHeight="1" outlineLevel="1" x14ac:dyDescent="0.35">
      <c r="A3416" s="74"/>
      <c r="B3416" s="48" t="s">
        <v>1177</v>
      </c>
      <c r="C3416" s="49" t="s">
        <v>58</v>
      </c>
      <c r="D3416" s="49">
        <v>3</v>
      </c>
      <c r="E3416" s="78">
        <v>0.01</v>
      </c>
      <c r="F3416" s="34"/>
      <c r="G3416" s="35"/>
      <c r="H3416" s="36"/>
      <c r="I3416" s="37"/>
      <c r="J3416" s="37"/>
      <c r="K3416" s="38"/>
      <c r="L3416" s="38"/>
      <c r="M3416" s="38"/>
      <c r="N3416" s="36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</row>
    <row r="3417" spans="1:28" s="39" customFormat="1" ht="36" hidden="1" customHeight="1" outlineLevel="1" x14ac:dyDescent="0.35">
      <c r="A3417" s="74"/>
      <c r="B3417" s="48" t="s">
        <v>1178</v>
      </c>
      <c r="C3417" s="49" t="s">
        <v>58</v>
      </c>
      <c r="D3417" s="49">
        <v>4</v>
      </c>
      <c r="E3417" s="78">
        <v>1.6E-2</v>
      </c>
      <c r="F3417" s="34"/>
      <c r="G3417" s="35"/>
      <c r="H3417" s="36"/>
      <c r="I3417" s="37"/>
      <c r="J3417" s="37"/>
      <c r="K3417" s="38"/>
      <c r="L3417" s="38"/>
      <c r="M3417" s="38"/>
      <c r="N3417" s="36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</row>
    <row r="3418" spans="1:28" s="39" customFormat="1" ht="36" hidden="1" customHeight="1" outlineLevel="1" x14ac:dyDescent="0.35">
      <c r="A3418" s="74"/>
      <c r="B3418" s="48" t="s">
        <v>1179</v>
      </c>
      <c r="C3418" s="49" t="s">
        <v>58</v>
      </c>
      <c r="D3418" s="49">
        <v>3</v>
      </c>
      <c r="E3418" s="78">
        <v>1.4E-2</v>
      </c>
      <c r="F3418" s="34"/>
      <c r="G3418" s="35"/>
      <c r="H3418" s="36"/>
      <c r="I3418" s="37"/>
      <c r="J3418" s="37"/>
      <c r="K3418" s="38"/>
      <c r="L3418" s="38"/>
      <c r="M3418" s="38"/>
      <c r="N3418" s="36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</row>
    <row r="3419" spans="1:28" s="39" customFormat="1" ht="36" hidden="1" customHeight="1" outlineLevel="1" x14ac:dyDescent="0.35">
      <c r="A3419" s="74"/>
      <c r="B3419" s="48" t="s">
        <v>1180</v>
      </c>
      <c r="C3419" s="49" t="s">
        <v>58</v>
      </c>
      <c r="D3419" s="49">
        <v>1</v>
      </c>
      <c r="E3419" s="78">
        <v>1E-3</v>
      </c>
      <c r="F3419" s="34"/>
      <c r="G3419" s="35"/>
      <c r="H3419" s="36"/>
      <c r="I3419" s="37"/>
      <c r="J3419" s="37"/>
      <c r="K3419" s="38"/>
      <c r="L3419" s="38"/>
      <c r="M3419" s="38"/>
      <c r="N3419" s="36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</row>
    <row r="3420" spans="1:28" s="33" customFormat="1" ht="30.9" collapsed="1" x14ac:dyDescent="0.35">
      <c r="A3420" s="24">
        <f>A3410+1</f>
        <v>1423</v>
      </c>
      <c r="B3420" s="71" t="s">
        <v>533</v>
      </c>
      <c r="C3420" s="40" t="s">
        <v>132</v>
      </c>
      <c r="D3420" s="108">
        <v>923.1</v>
      </c>
      <c r="E3420" s="79" t="s">
        <v>151</v>
      </c>
      <c r="F3420" s="29"/>
      <c r="G3420" s="30"/>
      <c r="H3420" s="31"/>
      <c r="I3420" s="30"/>
      <c r="J3420" s="30"/>
      <c r="K3420" s="32"/>
      <c r="L3420" s="32"/>
      <c r="M3420" s="32"/>
      <c r="N3420" s="31"/>
      <c r="O3420" s="32"/>
      <c r="P3420" s="32"/>
      <c r="Q3420" s="32"/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</row>
    <row r="3421" spans="1:28" s="39" customFormat="1" ht="36" hidden="1" customHeight="1" outlineLevel="1" x14ac:dyDescent="0.35">
      <c r="A3421" s="74"/>
      <c r="B3421" s="48" t="s">
        <v>534</v>
      </c>
      <c r="C3421" s="49" t="s">
        <v>14</v>
      </c>
      <c r="D3421" s="65">
        <f>923.1*15.98/1000*1.1</f>
        <v>16.226251800000004</v>
      </c>
      <c r="E3421" s="76"/>
      <c r="F3421" s="34"/>
      <c r="G3421" s="35"/>
      <c r="H3421" s="36"/>
      <c r="I3421" s="37"/>
      <c r="J3421" s="37"/>
      <c r="K3421" s="38"/>
      <c r="L3421" s="38"/>
      <c r="M3421" s="38"/>
      <c r="N3421" s="36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</row>
    <row r="3422" spans="1:28" s="58" customFormat="1" ht="30" hidden="1" customHeight="1" outlineLevel="1" x14ac:dyDescent="0.4">
      <c r="A3422" s="54"/>
      <c r="B3422" s="48" t="s">
        <v>835</v>
      </c>
      <c r="C3422" s="49" t="s">
        <v>58</v>
      </c>
      <c r="D3422" s="55">
        <v>2</v>
      </c>
      <c r="E3422" s="51">
        <v>4.0000000000000001E-3</v>
      </c>
      <c r="F3422" s="57"/>
    </row>
    <row r="3423" spans="1:28" s="58" customFormat="1" ht="30" hidden="1" customHeight="1" outlineLevel="1" x14ac:dyDescent="0.4">
      <c r="A3423" s="54"/>
      <c r="B3423" s="48" t="s">
        <v>535</v>
      </c>
      <c r="C3423" s="49" t="s">
        <v>58</v>
      </c>
      <c r="D3423" s="55">
        <v>118</v>
      </c>
      <c r="E3423" s="51">
        <v>0.44800000000000001</v>
      </c>
      <c r="F3423" s="57"/>
    </row>
    <row r="3424" spans="1:28" s="39" customFormat="1" ht="36" hidden="1" customHeight="1" outlineLevel="1" x14ac:dyDescent="0.35">
      <c r="A3424" s="74"/>
      <c r="B3424" s="48" t="s">
        <v>1181</v>
      </c>
      <c r="C3424" s="49" t="s">
        <v>58</v>
      </c>
      <c r="D3424" s="49">
        <v>7</v>
      </c>
      <c r="E3424" s="78">
        <v>3.1E-2</v>
      </c>
      <c r="F3424" s="34"/>
      <c r="G3424" s="35"/>
      <c r="H3424" s="36"/>
      <c r="I3424" s="37"/>
      <c r="J3424" s="37"/>
      <c r="K3424" s="38"/>
      <c r="L3424" s="38"/>
      <c r="M3424" s="38"/>
      <c r="N3424" s="36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</row>
    <row r="3425" spans="1:28" s="39" customFormat="1" ht="36" hidden="1" customHeight="1" outlineLevel="1" x14ac:dyDescent="0.35">
      <c r="A3425" s="74"/>
      <c r="B3425" s="48" t="s">
        <v>1182</v>
      </c>
      <c r="C3425" s="49" t="s">
        <v>58</v>
      </c>
      <c r="D3425" s="49">
        <v>3</v>
      </c>
      <c r="E3425" s="78">
        <v>2.7E-2</v>
      </c>
      <c r="F3425" s="34"/>
      <c r="G3425" s="35"/>
      <c r="H3425" s="36"/>
      <c r="I3425" s="37"/>
      <c r="J3425" s="37"/>
      <c r="K3425" s="38"/>
      <c r="L3425" s="38"/>
      <c r="M3425" s="38"/>
      <c r="N3425" s="36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</row>
    <row r="3426" spans="1:28" s="39" customFormat="1" ht="36" hidden="1" customHeight="1" outlineLevel="1" x14ac:dyDescent="0.35">
      <c r="A3426" s="74"/>
      <c r="B3426" s="48" t="s">
        <v>1183</v>
      </c>
      <c r="C3426" s="49" t="s">
        <v>58</v>
      </c>
      <c r="D3426" s="49">
        <v>3</v>
      </c>
      <c r="E3426" s="78">
        <v>1.2E-2</v>
      </c>
      <c r="F3426" s="34"/>
      <c r="G3426" s="35"/>
      <c r="H3426" s="36"/>
      <c r="I3426" s="37"/>
      <c r="J3426" s="37"/>
      <c r="K3426" s="38"/>
      <c r="L3426" s="38"/>
      <c r="M3426" s="38"/>
      <c r="N3426" s="36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</row>
    <row r="3427" spans="1:28" s="39" customFormat="1" ht="36" hidden="1" customHeight="1" outlineLevel="1" x14ac:dyDescent="0.35">
      <c r="A3427" s="74"/>
      <c r="B3427" s="48" t="s">
        <v>1184</v>
      </c>
      <c r="C3427" s="49" t="s">
        <v>58</v>
      </c>
      <c r="D3427" s="49">
        <v>8</v>
      </c>
      <c r="E3427" s="78">
        <v>3.1E-2</v>
      </c>
      <c r="F3427" s="34"/>
      <c r="G3427" s="35"/>
      <c r="H3427" s="36"/>
      <c r="I3427" s="37"/>
      <c r="J3427" s="37"/>
      <c r="K3427" s="38"/>
      <c r="L3427" s="38"/>
      <c r="M3427" s="38"/>
      <c r="N3427" s="36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</row>
    <row r="3428" spans="1:28" s="39" customFormat="1" ht="36" hidden="1" customHeight="1" outlineLevel="1" x14ac:dyDescent="0.35">
      <c r="A3428" s="74"/>
      <c r="B3428" s="48" t="s">
        <v>1185</v>
      </c>
      <c r="C3428" s="49" t="s">
        <v>58</v>
      </c>
      <c r="D3428" s="49">
        <v>1</v>
      </c>
      <c r="E3428" s="78">
        <v>1E-3</v>
      </c>
      <c r="F3428" s="34"/>
      <c r="G3428" s="35"/>
      <c r="H3428" s="36"/>
      <c r="I3428" s="37"/>
      <c r="J3428" s="37"/>
      <c r="K3428" s="38"/>
      <c r="L3428" s="38"/>
      <c r="M3428" s="38"/>
      <c r="N3428" s="36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</row>
    <row r="3429" spans="1:28" s="33" customFormat="1" ht="30.9" collapsed="1" x14ac:dyDescent="0.35">
      <c r="A3429" s="24">
        <f>A3420+1</f>
        <v>1424</v>
      </c>
      <c r="B3429" s="71" t="s">
        <v>540</v>
      </c>
      <c r="C3429" s="40" t="s">
        <v>132</v>
      </c>
      <c r="D3429" s="108">
        <v>408.6</v>
      </c>
      <c r="E3429" s="79" t="s">
        <v>151</v>
      </c>
      <c r="F3429" s="29"/>
      <c r="G3429" s="30"/>
      <c r="H3429" s="31"/>
      <c r="I3429" s="30"/>
      <c r="J3429" s="30"/>
      <c r="K3429" s="32"/>
      <c r="L3429" s="32"/>
      <c r="M3429" s="32"/>
      <c r="N3429" s="31"/>
      <c r="O3429" s="32"/>
      <c r="P3429" s="32"/>
      <c r="Q3429" s="32"/>
      <c r="R3429" s="32"/>
      <c r="S3429" s="32"/>
      <c r="T3429" s="32"/>
      <c r="U3429" s="32"/>
      <c r="V3429" s="32"/>
      <c r="W3429" s="32"/>
      <c r="X3429" s="32"/>
      <c r="Y3429" s="32"/>
      <c r="Z3429" s="32"/>
      <c r="AA3429" s="32"/>
      <c r="AB3429" s="32"/>
    </row>
    <row r="3430" spans="1:28" s="39" customFormat="1" ht="36" hidden="1" customHeight="1" outlineLevel="1" x14ac:dyDescent="0.35">
      <c r="A3430" s="74"/>
      <c r="B3430" s="48" t="s">
        <v>541</v>
      </c>
      <c r="C3430" s="49" t="s">
        <v>14</v>
      </c>
      <c r="D3430" s="65">
        <f>408.6*22.64/1000*1.1</f>
        <v>10.175774400000002</v>
      </c>
      <c r="E3430" s="76"/>
      <c r="F3430" s="34"/>
      <c r="G3430" s="35"/>
      <c r="H3430" s="36"/>
      <c r="I3430" s="37"/>
      <c r="J3430" s="37"/>
      <c r="K3430" s="38"/>
      <c r="L3430" s="38"/>
      <c r="M3430" s="38"/>
      <c r="N3430" s="36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</row>
    <row r="3431" spans="1:28" s="58" customFormat="1" ht="30" hidden="1" customHeight="1" outlineLevel="1" x14ac:dyDescent="0.4">
      <c r="A3431" s="54"/>
      <c r="B3431" s="48" t="s">
        <v>542</v>
      </c>
      <c r="C3431" s="49" t="s">
        <v>58</v>
      </c>
      <c r="D3431" s="55">
        <v>42</v>
      </c>
      <c r="E3431" s="51">
        <v>0.34</v>
      </c>
      <c r="F3431" s="57"/>
    </row>
    <row r="3432" spans="1:28" s="39" customFormat="1" ht="36" hidden="1" customHeight="1" outlineLevel="1" x14ac:dyDescent="0.35">
      <c r="A3432" s="74"/>
      <c r="B3432" s="48" t="s">
        <v>1186</v>
      </c>
      <c r="C3432" s="49" t="s">
        <v>58</v>
      </c>
      <c r="D3432" s="49">
        <v>1</v>
      </c>
      <c r="E3432" s="78">
        <v>7.0000000000000001E-3</v>
      </c>
      <c r="F3432" s="34"/>
      <c r="G3432" s="35"/>
      <c r="H3432" s="36"/>
      <c r="I3432" s="37"/>
      <c r="J3432" s="37"/>
      <c r="K3432" s="38"/>
      <c r="L3432" s="38"/>
      <c r="M3432" s="38"/>
      <c r="N3432" s="36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</row>
    <row r="3433" spans="1:28" s="33" customFormat="1" ht="30.9" collapsed="1" x14ac:dyDescent="0.35">
      <c r="A3433" s="24">
        <f>A3429+1</f>
        <v>1425</v>
      </c>
      <c r="B3433" s="71" t="s">
        <v>545</v>
      </c>
      <c r="C3433" s="40" t="s">
        <v>132</v>
      </c>
      <c r="D3433" s="108">
        <v>127.5</v>
      </c>
      <c r="E3433" s="79" t="s">
        <v>151</v>
      </c>
      <c r="F3433" s="29"/>
      <c r="G3433" s="30"/>
      <c r="H3433" s="31"/>
      <c r="I3433" s="30"/>
      <c r="J3433" s="30"/>
      <c r="K3433" s="32"/>
      <c r="L3433" s="32"/>
      <c r="M3433" s="32"/>
      <c r="N3433" s="31"/>
      <c r="O3433" s="32"/>
      <c r="P3433" s="32"/>
      <c r="Q3433" s="32"/>
      <c r="R3433" s="32"/>
      <c r="S3433" s="32"/>
      <c r="T3433" s="32"/>
      <c r="U3433" s="32"/>
      <c r="V3433" s="32"/>
      <c r="W3433" s="32"/>
      <c r="X3433" s="32"/>
      <c r="Y3433" s="32"/>
      <c r="Z3433" s="32"/>
      <c r="AA3433" s="32"/>
      <c r="AB3433" s="32"/>
    </row>
    <row r="3434" spans="1:28" s="39" customFormat="1" ht="36" hidden="1" customHeight="1" outlineLevel="1" x14ac:dyDescent="0.35">
      <c r="A3434" s="74"/>
      <c r="B3434" s="48" t="s">
        <v>546</v>
      </c>
      <c r="C3434" s="49" t="s">
        <v>14</v>
      </c>
      <c r="D3434" s="65">
        <f>127.5*41.63/1000*1.1</f>
        <v>5.8386075000000019</v>
      </c>
      <c r="E3434" s="76"/>
      <c r="F3434" s="34"/>
      <c r="G3434" s="35"/>
      <c r="H3434" s="36"/>
      <c r="I3434" s="37"/>
      <c r="J3434" s="37"/>
      <c r="K3434" s="38"/>
      <c r="L3434" s="38"/>
      <c r="M3434" s="38"/>
      <c r="N3434" s="36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</row>
    <row r="3435" spans="1:28" s="58" customFormat="1" ht="30" hidden="1" customHeight="1" outlineLevel="1" x14ac:dyDescent="0.4">
      <c r="A3435" s="54"/>
      <c r="B3435" s="48" t="s">
        <v>547</v>
      </c>
      <c r="C3435" s="49" t="s">
        <v>58</v>
      </c>
      <c r="D3435" s="55">
        <v>13</v>
      </c>
      <c r="E3435" s="51">
        <v>0.26</v>
      </c>
      <c r="F3435" s="57"/>
    </row>
    <row r="3436" spans="1:28" s="39" customFormat="1" ht="36" hidden="1" customHeight="1" outlineLevel="1" x14ac:dyDescent="0.35">
      <c r="A3436" s="74"/>
      <c r="B3436" s="48" t="s">
        <v>1187</v>
      </c>
      <c r="C3436" s="49" t="s">
        <v>58</v>
      </c>
      <c r="D3436" s="49">
        <v>1</v>
      </c>
      <c r="E3436" s="78">
        <v>5.0000000000000001E-3</v>
      </c>
      <c r="F3436" s="34"/>
      <c r="G3436" s="35"/>
      <c r="H3436" s="36"/>
      <c r="I3436" s="37"/>
      <c r="J3436" s="37"/>
      <c r="K3436" s="38"/>
      <c r="L3436" s="38"/>
      <c r="M3436" s="38"/>
      <c r="N3436" s="36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</row>
    <row r="3437" spans="1:28" s="58" customFormat="1" ht="30" customHeight="1" collapsed="1" x14ac:dyDescent="0.4">
      <c r="A3437" s="24">
        <f>A3433+1</f>
        <v>1426</v>
      </c>
      <c r="B3437" s="59" t="s">
        <v>158</v>
      </c>
      <c r="C3437" s="70" t="s">
        <v>67</v>
      </c>
      <c r="D3437" s="40" t="s">
        <v>1188</v>
      </c>
      <c r="E3437" s="66"/>
      <c r="F3437" s="57"/>
    </row>
    <row r="3438" spans="1:28" s="58" customFormat="1" ht="30" hidden="1" customHeight="1" outlineLevel="1" x14ac:dyDescent="0.4">
      <c r="A3438" s="54"/>
      <c r="B3438" s="48" t="s">
        <v>209</v>
      </c>
      <c r="C3438" s="49" t="s">
        <v>58</v>
      </c>
      <c r="D3438" s="55">
        <v>112</v>
      </c>
      <c r="E3438" s="51">
        <v>0.123</v>
      </c>
      <c r="F3438" s="57"/>
    </row>
    <row r="3439" spans="1:28" s="58" customFormat="1" ht="30" hidden="1" customHeight="1" outlineLevel="1" x14ac:dyDescent="0.4">
      <c r="A3439" s="54"/>
      <c r="B3439" s="48" t="s">
        <v>210</v>
      </c>
      <c r="C3439" s="49" t="s">
        <v>58</v>
      </c>
      <c r="D3439" s="55">
        <v>127</v>
      </c>
      <c r="E3439" s="51">
        <v>0.26700000000000002</v>
      </c>
      <c r="F3439" s="57"/>
    </row>
    <row r="3440" spans="1:28" s="58" customFormat="1" ht="30" hidden="1" customHeight="1" outlineLevel="1" x14ac:dyDescent="0.4">
      <c r="A3440" s="54"/>
      <c r="B3440" s="48" t="s">
        <v>426</v>
      </c>
      <c r="C3440" s="49" t="s">
        <v>58</v>
      </c>
      <c r="D3440" s="55">
        <v>60</v>
      </c>
      <c r="E3440" s="51">
        <v>0.13200000000000001</v>
      </c>
      <c r="F3440" s="57"/>
    </row>
    <row r="3441" spans="1:28" s="58" customFormat="1" ht="30" hidden="1" customHeight="1" outlineLevel="1" x14ac:dyDescent="0.4">
      <c r="A3441" s="54"/>
      <c r="B3441" s="48" t="s">
        <v>552</v>
      </c>
      <c r="C3441" s="49" t="s">
        <v>58</v>
      </c>
      <c r="D3441" s="55">
        <v>238</v>
      </c>
      <c r="E3441" s="51">
        <v>1.2849999999999999</v>
      </c>
      <c r="F3441" s="57"/>
    </row>
    <row r="3442" spans="1:28" s="58" customFormat="1" ht="30" hidden="1" customHeight="1" outlineLevel="1" x14ac:dyDescent="0.4">
      <c r="A3442" s="54"/>
      <c r="B3442" s="48" t="s">
        <v>553</v>
      </c>
      <c r="C3442" s="49" t="s">
        <v>58</v>
      </c>
      <c r="D3442" s="55">
        <v>72</v>
      </c>
      <c r="E3442" s="51">
        <v>0.54500000000000004</v>
      </c>
      <c r="F3442" s="57"/>
    </row>
    <row r="3443" spans="1:28" s="58" customFormat="1" ht="30" hidden="1" customHeight="1" outlineLevel="1" x14ac:dyDescent="0.4">
      <c r="A3443" s="54"/>
      <c r="B3443" s="48" t="s">
        <v>428</v>
      </c>
      <c r="C3443" s="49" t="s">
        <v>58</v>
      </c>
      <c r="D3443" s="55">
        <v>21</v>
      </c>
      <c r="E3443" s="51">
        <v>0.28100000000000003</v>
      </c>
      <c r="F3443" s="57"/>
    </row>
    <row r="3444" spans="1:28" s="33" customFormat="1" ht="31" customHeight="1" collapsed="1" x14ac:dyDescent="0.35">
      <c r="A3444" s="24">
        <f>A3437+1</f>
        <v>1427</v>
      </c>
      <c r="B3444" s="59" t="s">
        <v>512</v>
      </c>
      <c r="C3444" s="26" t="s">
        <v>58</v>
      </c>
      <c r="D3444" s="73">
        <v>42</v>
      </c>
      <c r="E3444" s="28"/>
      <c r="F3444" s="29"/>
      <c r="G3444" s="30"/>
      <c r="H3444" s="31"/>
      <c r="I3444" s="30"/>
      <c r="J3444" s="30"/>
      <c r="K3444" s="32"/>
      <c r="L3444" s="32"/>
      <c r="M3444" s="32"/>
      <c r="N3444" s="31"/>
      <c r="O3444" s="32"/>
      <c r="P3444" s="32"/>
      <c r="Q3444" s="32"/>
      <c r="R3444" s="32"/>
      <c r="S3444" s="32"/>
      <c r="T3444" s="32"/>
      <c r="U3444" s="32"/>
      <c r="V3444" s="32"/>
      <c r="W3444" s="32"/>
      <c r="X3444" s="32"/>
      <c r="Y3444" s="32"/>
      <c r="Z3444" s="32"/>
      <c r="AA3444" s="32"/>
      <c r="AB3444" s="32"/>
    </row>
    <row r="3445" spans="1:28" s="39" customFormat="1" ht="30.9" hidden="1" outlineLevel="1" x14ac:dyDescent="0.35">
      <c r="A3445" s="74"/>
      <c r="B3445" s="48" t="s">
        <v>513</v>
      </c>
      <c r="C3445" s="49" t="s">
        <v>251</v>
      </c>
      <c r="D3445" s="55">
        <v>42</v>
      </c>
      <c r="E3445" s="78">
        <v>0.41599999999999998</v>
      </c>
      <c r="F3445" s="34"/>
      <c r="G3445" s="35"/>
      <c r="H3445" s="36"/>
      <c r="I3445" s="37"/>
      <c r="J3445" s="37"/>
      <c r="K3445" s="38"/>
      <c r="L3445" s="38"/>
      <c r="M3445" s="38"/>
      <c r="N3445" s="36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</row>
    <row r="3446" spans="1:28" s="33" customFormat="1" ht="30.9" collapsed="1" x14ac:dyDescent="0.35">
      <c r="A3446" s="24">
        <f>A3444+1</f>
        <v>1428</v>
      </c>
      <c r="B3446" s="71" t="s">
        <v>517</v>
      </c>
      <c r="C3446" s="40" t="s">
        <v>132</v>
      </c>
      <c r="D3446" s="108">
        <v>6.3</v>
      </c>
      <c r="E3446" s="79" t="s">
        <v>151</v>
      </c>
      <c r="F3446" s="29"/>
      <c r="G3446" s="30"/>
      <c r="H3446" s="31"/>
      <c r="I3446" s="30"/>
      <c r="J3446" s="30"/>
      <c r="K3446" s="32"/>
      <c r="L3446" s="32"/>
      <c r="M3446" s="32"/>
      <c r="N3446" s="31"/>
      <c r="O3446" s="32"/>
      <c r="P3446" s="32"/>
      <c r="Q3446" s="32"/>
      <c r="R3446" s="32"/>
      <c r="S3446" s="32"/>
      <c r="T3446" s="32"/>
      <c r="U3446" s="32"/>
      <c r="V3446" s="32"/>
      <c r="W3446" s="32"/>
      <c r="X3446" s="32"/>
      <c r="Y3446" s="32"/>
      <c r="Z3446" s="32"/>
      <c r="AA3446" s="32"/>
      <c r="AB3446" s="32"/>
    </row>
    <row r="3447" spans="1:28" s="39" customFormat="1" ht="36" hidden="1" customHeight="1" outlineLevel="1" x14ac:dyDescent="0.35">
      <c r="A3447" s="74"/>
      <c r="B3447" s="48" t="s">
        <v>518</v>
      </c>
      <c r="C3447" s="49" t="s">
        <v>14</v>
      </c>
      <c r="D3447" s="65">
        <f>6.3*2.76/1000*1.1</f>
        <v>1.9126799999999999E-2</v>
      </c>
      <c r="E3447" s="76"/>
      <c r="F3447" s="34"/>
      <c r="G3447" s="35"/>
      <c r="H3447" s="36"/>
      <c r="I3447" s="37"/>
      <c r="J3447" s="37"/>
      <c r="K3447" s="38"/>
      <c r="L3447" s="38"/>
      <c r="M3447" s="38"/>
      <c r="N3447" s="36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</row>
    <row r="3448" spans="1:28" s="58" customFormat="1" ht="30" hidden="1" customHeight="1" outlineLevel="1" x14ac:dyDescent="0.4">
      <c r="A3448" s="54"/>
      <c r="B3448" s="48" t="s">
        <v>1189</v>
      </c>
      <c r="C3448" s="49" t="s">
        <v>58</v>
      </c>
      <c r="D3448" s="55">
        <v>6</v>
      </c>
      <c r="E3448" s="51">
        <v>2E-3</v>
      </c>
      <c r="F3448" s="57"/>
    </row>
    <row r="3449" spans="1:28" s="58" customFormat="1" ht="30" customHeight="1" collapsed="1" x14ac:dyDescent="0.4">
      <c r="A3449" s="24">
        <f>A3446+1</f>
        <v>1429</v>
      </c>
      <c r="B3449" s="71" t="s">
        <v>240</v>
      </c>
      <c r="C3449" s="40" t="s">
        <v>58</v>
      </c>
      <c r="D3449" s="82">
        <v>12</v>
      </c>
      <c r="E3449" s="66"/>
      <c r="F3449" s="57"/>
    </row>
    <row r="3450" spans="1:28" s="58" customFormat="1" ht="30" hidden="1" customHeight="1" outlineLevel="1" x14ac:dyDescent="0.4">
      <c r="A3450" s="54"/>
      <c r="B3450" s="48" t="s">
        <v>241</v>
      </c>
      <c r="C3450" s="49" t="s">
        <v>14</v>
      </c>
      <c r="D3450" s="65">
        <f>0.6*1.88*12/1000</f>
        <v>1.3535999999999998E-2</v>
      </c>
      <c r="E3450" s="51"/>
      <c r="F3450" s="57"/>
    </row>
    <row r="3451" spans="1:28" s="58" customFormat="1" ht="30" hidden="1" customHeight="1" outlineLevel="1" x14ac:dyDescent="0.4">
      <c r="A3451" s="54"/>
      <c r="B3451" s="48" t="s">
        <v>242</v>
      </c>
      <c r="C3451" s="49" t="s">
        <v>58</v>
      </c>
      <c r="D3451" s="55">
        <f>4*12</f>
        <v>48</v>
      </c>
      <c r="E3451" s="51"/>
      <c r="F3451" s="57"/>
    </row>
    <row r="3452" spans="1:28" s="58" customFormat="1" ht="30" hidden="1" customHeight="1" outlineLevel="1" x14ac:dyDescent="0.4">
      <c r="A3452" s="54"/>
      <c r="B3452" s="48" t="s">
        <v>243</v>
      </c>
      <c r="C3452" s="49" t="s">
        <v>58</v>
      </c>
      <c r="D3452" s="55">
        <f>12*12</f>
        <v>144</v>
      </c>
      <c r="E3452" s="51"/>
      <c r="F3452" s="57"/>
    </row>
    <row r="3453" spans="1:28" s="58" customFormat="1" ht="30" hidden="1" customHeight="1" outlineLevel="1" x14ac:dyDescent="0.4">
      <c r="A3453" s="54"/>
      <c r="B3453" s="48" t="s">
        <v>244</v>
      </c>
      <c r="C3453" s="49" t="s">
        <v>58</v>
      </c>
      <c r="D3453" s="55">
        <f>4*12</f>
        <v>48</v>
      </c>
      <c r="E3453" s="51"/>
      <c r="F3453" s="57"/>
    </row>
    <row r="3454" spans="1:28" s="58" customFormat="1" ht="30" hidden="1" customHeight="1" outlineLevel="1" x14ac:dyDescent="0.4">
      <c r="A3454" s="54"/>
      <c r="B3454" s="48" t="s">
        <v>245</v>
      </c>
      <c r="C3454" s="49" t="s">
        <v>58</v>
      </c>
      <c r="D3454" s="55">
        <f>8*12</f>
        <v>96</v>
      </c>
      <c r="E3454" s="51"/>
      <c r="F3454" s="57"/>
    </row>
    <row r="3455" spans="1:28" s="58" customFormat="1" ht="30" hidden="1" customHeight="1" outlineLevel="1" x14ac:dyDescent="0.4">
      <c r="A3455" s="54"/>
      <c r="B3455" s="48" t="s">
        <v>246</v>
      </c>
      <c r="C3455" s="49" t="s">
        <v>58</v>
      </c>
      <c r="D3455" s="55">
        <f>16*12</f>
        <v>192</v>
      </c>
      <c r="E3455" s="51"/>
      <c r="F3455" s="57"/>
    </row>
    <row r="3456" spans="1:28" s="58" customFormat="1" ht="30" hidden="1" customHeight="1" outlineLevel="1" x14ac:dyDescent="0.4">
      <c r="A3456" s="54"/>
      <c r="B3456" s="48" t="s">
        <v>247</v>
      </c>
      <c r="C3456" s="49" t="s">
        <v>58</v>
      </c>
      <c r="D3456" s="55">
        <f>16*12</f>
        <v>192</v>
      </c>
      <c r="E3456" s="51"/>
      <c r="F3456" s="57"/>
    </row>
    <row r="3457" spans="1:203" ht="36" customHeight="1" collapsed="1" x14ac:dyDescent="0.35">
      <c r="A3457" s="24">
        <f>A3449+1</f>
        <v>1430</v>
      </c>
      <c r="B3457" s="59" t="s">
        <v>72</v>
      </c>
      <c r="C3457" s="26" t="s">
        <v>29</v>
      </c>
      <c r="D3457" s="104">
        <f>28.19+72.33+67.1+330.43+204+87.68</f>
        <v>789.73</v>
      </c>
      <c r="E3457" s="41"/>
      <c r="F3457" s="42"/>
    </row>
    <row r="3458" spans="1:203" s="58" customFormat="1" ht="30" hidden="1" customHeight="1" outlineLevel="1" x14ac:dyDescent="0.4">
      <c r="A3458" s="54"/>
      <c r="B3458" s="48" t="s">
        <v>73</v>
      </c>
      <c r="C3458" s="49" t="s">
        <v>74</v>
      </c>
      <c r="D3458" s="68">
        <f>3.31*D3457</f>
        <v>2614.0063</v>
      </c>
      <c r="E3458" s="69">
        <v>2.6139999999999999</v>
      </c>
      <c r="F3458" s="57"/>
    </row>
    <row r="3459" spans="1:203" s="45" customFormat="1" ht="36" customHeight="1" collapsed="1" x14ac:dyDescent="0.35">
      <c r="A3459" s="24">
        <f>A3457+1</f>
        <v>1431</v>
      </c>
      <c r="B3459" s="59" t="s">
        <v>75</v>
      </c>
      <c r="C3459" s="26" t="s">
        <v>29</v>
      </c>
      <c r="D3459" s="104">
        <f>28.19+72.33+67.1+330.43+204+87.68</f>
        <v>789.73</v>
      </c>
      <c r="E3459" s="41"/>
      <c r="F3459" s="42"/>
      <c r="G3459" s="43"/>
      <c r="H3459" s="44"/>
      <c r="I3459" s="43"/>
      <c r="J3459" s="43"/>
      <c r="N3459" s="44"/>
      <c r="AC3459" s="46"/>
      <c r="AD3459" s="46"/>
      <c r="AE3459" s="46"/>
      <c r="AF3459" s="46"/>
      <c r="AG3459" s="46"/>
      <c r="AH3459" s="46"/>
      <c r="AI3459" s="46"/>
      <c r="AJ3459" s="46"/>
      <c r="AK3459" s="46"/>
      <c r="AL3459" s="46"/>
      <c r="AM3459" s="46"/>
      <c r="AN3459" s="46"/>
      <c r="AO3459" s="46"/>
      <c r="AP3459" s="46"/>
      <c r="AQ3459" s="46"/>
      <c r="AR3459" s="46"/>
      <c r="AS3459" s="46"/>
      <c r="AT3459" s="46"/>
      <c r="AU3459" s="46"/>
      <c r="AV3459" s="46"/>
      <c r="AW3459" s="46"/>
      <c r="AX3459" s="46"/>
      <c r="AY3459" s="46"/>
      <c r="AZ3459" s="46"/>
      <c r="BA3459" s="46"/>
      <c r="BB3459" s="46"/>
      <c r="BC3459" s="46"/>
      <c r="BD3459" s="46"/>
      <c r="BE3459" s="46"/>
      <c r="BF3459" s="46"/>
      <c r="BG3459" s="46"/>
      <c r="BH3459" s="46"/>
      <c r="BI3459" s="46"/>
      <c r="BJ3459" s="46"/>
      <c r="BK3459" s="46"/>
      <c r="BL3459" s="46"/>
      <c r="BM3459" s="46"/>
      <c r="BN3459" s="46"/>
      <c r="BO3459" s="46"/>
      <c r="BP3459" s="46"/>
      <c r="BQ3459" s="46"/>
      <c r="BR3459" s="46"/>
      <c r="BS3459" s="46"/>
      <c r="BT3459" s="46"/>
      <c r="BU3459" s="46"/>
      <c r="BV3459" s="46"/>
      <c r="BW3459" s="46"/>
      <c r="BX3459" s="46"/>
      <c r="BY3459" s="46"/>
      <c r="BZ3459" s="46"/>
      <c r="CA3459" s="46"/>
      <c r="CB3459" s="46"/>
      <c r="CC3459" s="46"/>
      <c r="CD3459" s="46"/>
      <c r="CE3459" s="46"/>
      <c r="CF3459" s="46"/>
      <c r="CG3459" s="46"/>
      <c r="CH3459" s="46"/>
      <c r="CI3459" s="46"/>
      <c r="CJ3459" s="46"/>
      <c r="CK3459" s="46"/>
      <c r="CL3459" s="46"/>
      <c r="CM3459" s="46"/>
      <c r="CN3459" s="46"/>
      <c r="CO3459" s="46"/>
      <c r="CP3459" s="46"/>
      <c r="CQ3459" s="46"/>
      <c r="CR3459" s="46"/>
      <c r="CS3459" s="46"/>
      <c r="CT3459" s="46"/>
      <c r="CU3459" s="46"/>
      <c r="CV3459" s="46"/>
      <c r="CW3459" s="46"/>
      <c r="CX3459" s="46"/>
      <c r="CY3459" s="46"/>
      <c r="CZ3459" s="46"/>
      <c r="DA3459" s="46"/>
      <c r="DB3459" s="46"/>
      <c r="DC3459" s="46"/>
      <c r="DD3459" s="46"/>
      <c r="DE3459" s="46"/>
      <c r="DF3459" s="46"/>
      <c r="DG3459" s="46"/>
      <c r="DH3459" s="46"/>
      <c r="DI3459" s="46"/>
      <c r="DJ3459" s="46"/>
      <c r="DK3459" s="46"/>
      <c r="DL3459" s="46"/>
      <c r="DM3459" s="46"/>
      <c r="DN3459" s="46"/>
      <c r="DO3459" s="46"/>
      <c r="DP3459" s="46"/>
      <c r="DQ3459" s="46"/>
      <c r="DR3459" s="46"/>
      <c r="DS3459" s="46"/>
      <c r="DT3459" s="46"/>
      <c r="DU3459" s="46"/>
      <c r="DV3459" s="46"/>
      <c r="DW3459" s="46"/>
      <c r="DX3459" s="46"/>
      <c r="DY3459" s="46"/>
      <c r="DZ3459" s="46"/>
      <c r="EA3459" s="46"/>
      <c r="EB3459" s="46"/>
      <c r="EC3459" s="46"/>
      <c r="ED3459" s="46"/>
      <c r="EE3459" s="46"/>
      <c r="EF3459" s="46"/>
      <c r="EG3459" s="46"/>
      <c r="EH3459" s="46"/>
      <c r="EI3459" s="46"/>
      <c r="EJ3459" s="46"/>
      <c r="EK3459" s="46"/>
      <c r="EL3459" s="46"/>
      <c r="EM3459" s="46"/>
      <c r="EN3459" s="46"/>
      <c r="EO3459" s="46"/>
      <c r="EP3459" s="46"/>
      <c r="EQ3459" s="46"/>
      <c r="ER3459" s="46"/>
      <c r="ES3459" s="46"/>
      <c r="ET3459" s="46"/>
      <c r="EU3459" s="46"/>
      <c r="EV3459" s="46"/>
      <c r="EW3459" s="46"/>
      <c r="EX3459" s="46"/>
      <c r="EY3459" s="46"/>
      <c r="EZ3459" s="46"/>
      <c r="FA3459" s="46"/>
      <c r="FB3459" s="46"/>
      <c r="FC3459" s="46"/>
      <c r="FD3459" s="46"/>
      <c r="FE3459" s="46"/>
      <c r="FF3459" s="46"/>
      <c r="FG3459" s="46"/>
      <c r="FH3459" s="46"/>
      <c r="FI3459" s="46"/>
      <c r="FJ3459" s="46"/>
      <c r="FK3459" s="46"/>
      <c r="FL3459" s="46"/>
      <c r="FM3459" s="46"/>
      <c r="FN3459" s="46"/>
      <c r="FO3459" s="46"/>
      <c r="FP3459" s="46"/>
      <c r="FQ3459" s="46"/>
      <c r="FR3459" s="46"/>
      <c r="FS3459" s="46"/>
      <c r="FT3459" s="46"/>
      <c r="FU3459" s="46"/>
      <c r="FV3459" s="46"/>
      <c r="FW3459" s="46"/>
      <c r="FX3459" s="46"/>
      <c r="FY3459" s="46"/>
      <c r="FZ3459" s="46"/>
      <c r="GA3459" s="46"/>
      <c r="GB3459" s="46"/>
      <c r="GC3459" s="46"/>
      <c r="GD3459" s="46"/>
      <c r="GE3459" s="46"/>
      <c r="GF3459" s="46"/>
      <c r="GG3459" s="46"/>
      <c r="GH3459" s="46"/>
      <c r="GI3459" s="46"/>
      <c r="GJ3459" s="46"/>
      <c r="GK3459" s="46"/>
      <c r="GL3459" s="46"/>
      <c r="GM3459" s="46"/>
      <c r="GN3459" s="46"/>
      <c r="GO3459" s="46"/>
      <c r="GP3459" s="46"/>
      <c r="GQ3459" s="46"/>
      <c r="GR3459" s="46"/>
      <c r="GS3459" s="46"/>
      <c r="GT3459" s="46"/>
      <c r="GU3459" s="46"/>
    </row>
    <row r="3460" spans="1:203" s="45" customFormat="1" ht="36" customHeight="1" x14ac:dyDescent="0.35">
      <c r="A3460" s="24">
        <f>A3459+1</f>
        <v>1432</v>
      </c>
      <c r="B3460" s="59" t="s">
        <v>76</v>
      </c>
      <c r="C3460" s="26" t="s">
        <v>29</v>
      </c>
      <c r="D3460" s="104">
        <f>28.19+72.33+67.1+330.43+204+87.68</f>
        <v>789.73</v>
      </c>
      <c r="E3460" s="41"/>
      <c r="F3460" s="42"/>
      <c r="G3460" s="43"/>
      <c r="H3460" s="44"/>
      <c r="I3460" s="43"/>
      <c r="J3460" s="43"/>
      <c r="N3460" s="44"/>
      <c r="AC3460" s="46"/>
      <c r="AD3460" s="46"/>
      <c r="AE3460" s="46"/>
      <c r="AF3460" s="46"/>
      <c r="AG3460" s="46"/>
      <c r="AH3460" s="46"/>
      <c r="AI3460" s="46"/>
      <c r="AJ3460" s="46"/>
      <c r="AK3460" s="46"/>
      <c r="AL3460" s="46"/>
      <c r="AM3460" s="46"/>
      <c r="AN3460" s="46"/>
      <c r="AO3460" s="46"/>
      <c r="AP3460" s="46"/>
      <c r="AQ3460" s="46"/>
      <c r="AR3460" s="46"/>
      <c r="AS3460" s="46"/>
      <c r="AT3460" s="46"/>
      <c r="AU3460" s="46"/>
      <c r="AV3460" s="46"/>
      <c r="AW3460" s="46"/>
      <c r="AX3460" s="46"/>
      <c r="AY3460" s="46"/>
      <c r="AZ3460" s="46"/>
      <c r="BA3460" s="46"/>
      <c r="BB3460" s="46"/>
      <c r="BC3460" s="46"/>
      <c r="BD3460" s="46"/>
      <c r="BE3460" s="46"/>
      <c r="BF3460" s="46"/>
      <c r="BG3460" s="46"/>
      <c r="BH3460" s="46"/>
      <c r="BI3460" s="46"/>
      <c r="BJ3460" s="46"/>
      <c r="BK3460" s="46"/>
      <c r="BL3460" s="46"/>
      <c r="BM3460" s="46"/>
      <c r="BN3460" s="46"/>
      <c r="BO3460" s="46"/>
      <c r="BP3460" s="46"/>
      <c r="BQ3460" s="46"/>
      <c r="BR3460" s="46"/>
      <c r="BS3460" s="46"/>
      <c r="BT3460" s="46"/>
      <c r="BU3460" s="46"/>
      <c r="BV3460" s="46"/>
      <c r="BW3460" s="46"/>
      <c r="BX3460" s="46"/>
      <c r="BY3460" s="46"/>
      <c r="BZ3460" s="46"/>
      <c r="CA3460" s="46"/>
      <c r="CB3460" s="46"/>
      <c r="CC3460" s="46"/>
      <c r="CD3460" s="46"/>
      <c r="CE3460" s="46"/>
      <c r="CF3460" s="46"/>
      <c r="CG3460" s="46"/>
      <c r="CH3460" s="46"/>
      <c r="CI3460" s="46"/>
      <c r="CJ3460" s="46"/>
      <c r="CK3460" s="46"/>
      <c r="CL3460" s="46"/>
      <c r="CM3460" s="46"/>
      <c r="CN3460" s="46"/>
      <c r="CO3460" s="46"/>
      <c r="CP3460" s="46"/>
      <c r="CQ3460" s="46"/>
      <c r="CR3460" s="46"/>
      <c r="CS3460" s="46"/>
      <c r="CT3460" s="46"/>
      <c r="CU3460" s="46"/>
      <c r="CV3460" s="46"/>
      <c r="CW3460" s="46"/>
      <c r="CX3460" s="46"/>
      <c r="CY3460" s="46"/>
      <c r="CZ3460" s="46"/>
      <c r="DA3460" s="46"/>
      <c r="DB3460" s="46"/>
      <c r="DC3460" s="46"/>
      <c r="DD3460" s="46"/>
      <c r="DE3460" s="46"/>
      <c r="DF3460" s="46"/>
      <c r="DG3460" s="46"/>
      <c r="DH3460" s="46"/>
      <c r="DI3460" s="46"/>
      <c r="DJ3460" s="46"/>
      <c r="DK3460" s="46"/>
      <c r="DL3460" s="46"/>
      <c r="DM3460" s="46"/>
      <c r="DN3460" s="46"/>
      <c r="DO3460" s="46"/>
      <c r="DP3460" s="46"/>
      <c r="DQ3460" s="46"/>
      <c r="DR3460" s="46"/>
      <c r="DS3460" s="46"/>
      <c r="DT3460" s="46"/>
      <c r="DU3460" s="46"/>
      <c r="DV3460" s="46"/>
      <c r="DW3460" s="46"/>
      <c r="DX3460" s="46"/>
      <c r="DY3460" s="46"/>
      <c r="DZ3460" s="46"/>
      <c r="EA3460" s="46"/>
      <c r="EB3460" s="46"/>
      <c r="EC3460" s="46"/>
      <c r="ED3460" s="46"/>
      <c r="EE3460" s="46"/>
      <c r="EF3460" s="46"/>
      <c r="EG3460" s="46"/>
      <c r="EH3460" s="46"/>
      <c r="EI3460" s="46"/>
      <c r="EJ3460" s="46"/>
      <c r="EK3460" s="46"/>
      <c r="EL3460" s="46"/>
      <c r="EM3460" s="46"/>
      <c r="EN3460" s="46"/>
      <c r="EO3460" s="46"/>
      <c r="EP3460" s="46"/>
      <c r="EQ3460" s="46"/>
      <c r="ER3460" s="46"/>
      <c r="ES3460" s="46"/>
      <c r="ET3460" s="46"/>
      <c r="EU3460" s="46"/>
      <c r="EV3460" s="46"/>
      <c r="EW3460" s="46"/>
      <c r="EX3460" s="46"/>
      <c r="EY3460" s="46"/>
      <c r="EZ3460" s="46"/>
      <c r="FA3460" s="46"/>
      <c r="FB3460" s="46"/>
      <c r="FC3460" s="46"/>
      <c r="FD3460" s="46"/>
      <c r="FE3460" s="46"/>
      <c r="FF3460" s="46"/>
      <c r="FG3460" s="46"/>
      <c r="FH3460" s="46"/>
      <c r="FI3460" s="46"/>
      <c r="FJ3460" s="46"/>
      <c r="FK3460" s="46"/>
      <c r="FL3460" s="46"/>
      <c r="FM3460" s="46"/>
      <c r="FN3460" s="46"/>
      <c r="FO3460" s="46"/>
      <c r="FP3460" s="46"/>
      <c r="FQ3460" s="46"/>
      <c r="FR3460" s="46"/>
      <c r="FS3460" s="46"/>
      <c r="FT3460" s="46"/>
      <c r="FU3460" s="46"/>
      <c r="FV3460" s="46"/>
      <c r="FW3460" s="46"/>
      <c r="FX3460" s="46"/>
      <c r="FY3460" s="46"/>
      <c r="FZ3460" s="46"/>
      <c r="GA3460" s="46"/>
      <c r="GB3460" s="46"/>
      <c r="GC3460" s="46"/>
      <c r="GD3460" s="46"/>
      <c r="GE3460" s="46"/>
      <c r="GF3460" s="46"/>
      <c r="GG3460" s="46"/>
      <c r="GH3460" s="46"/>
      <c r="GI3460" s="46"/>
      <c r="GJ3460" s="46"/>
      <c r="GK3460" s="46"/>
      <c r="GL3460" s="46"/>
      <c r="GM3460" s="46"/>
      <c r="GN3460" s="46"/>
      <c r="GO3460" s="46"/>
      <c r="GP3460" s="46"/>
      <c r="GQ3460" s="46"/>
      <c r="GR3460" s="46"/>
      <c r="GS3460" s="46"/>
      <c r="GT3460" s="46"/>
      <c r="GU3460" s="46"/>
    </row>
    <row r="3461" spans="1:203" s="58" customFormat="1" ht="30" customHeight="1" x14ac:dyDescent="0.4">
      <c r="A3461" s="24">
        <f>A3460+1</f>
        <v>1433</v>
      </c>
      <c r="B3461" s="59" t="s">
        <v>77</v>
      </c>
      <c r="C3461" s="70" t="s">
        <v>29</v>
      </c>
      <c r="D3461" s="104">
        <f>28.19+72.33+67.1+330.43+204+87.68</f>
        <v>789.73</v>
      </c>
      <c r="E3461" s="66"/>
      <c r="F3461" s="57"/>
    </row>
    <row r="3462" spans="1:203" s="58" customFormat="1" ht="30" hidden="1" customHeight="1" outlineLevel="1" x14ac:dyDescent="0.4">
      <c r="A3462" s="54"/>
      <c r="B3462" s="48" t="s">
        <v>78</v>
      </c>
      <c r="C3462" s="49" t="s">
        <v>74</v>
      </c>
      <c r="D3462" s="68">
        <f>D3461*0.255</f>
        <v>201.38115000000002</v>
      </c>
      <c r="E3462" s="69">
        <v>0.20100000000000001</v>
      </c>
      <c r="F3462" s="57"/>
    </row>
    <row r="3463" spans="1:203" s="58" customFormat="1" ht="30" customHeight="1" collapsed="1" x14ac:dyDescent="0.4">
      <c r="A3463" s="24">
        <f>A3461+1</f>
        <v>1434</v>
      </c>
      <c r="B3463" s="59" t="s">
        <v>79</v>
      </c>
      <c r="C3463" s="70" t="s">
        <v>29</v>
      </c>
      <c r="D3463" s="104">
        <f>28.19+72.33+67.1+330.43+204+87.68</f>
        <v>789.73</v>
      </c>
      <c r="E3463" s="66"/>
      <c r="F3463" s="57"/>
    </row>
    <row r="3464" spans="1:203" s="58" customFormat="1" ht="30" hidden="1" customHeight="1" outlineLevel="1" x14ac:dyDescent="0.4">
      <c r="A3464" s="54"/>
      <c r="B3464" s="48" t="s">
        <v>80</v>
      </c>
      <c r="C3464" s="49" t="s">
        <v>74</v>
      </c>
      <c r="D3464" s="68">
        <f>D3463*0.36*2</f>
        <v>568.60559999999998</v>
      </c>
      <c r="E3464" s="69">
        <v>0.56799999999999995</v>
      </c>
      <c r="F3464" s="57"/>
    </row>
    <row r="3465" spans="1:203" s="58" customFormat="1" ht="30" customHeight="1" collapsed="1" x14ac:dyDescent="0.4">
      <c r="A3465" s="24">
        <f>A3463+1</f>
        <v>1435</v>
      </c>
      <c r="B3465" s="59" t="s">
        <v>368</v>
      </c>
      <c r="C3465" s="70" t="s">
        <v>58</v>
      </c>
      <c r="D3465" s="40">
        <v>54</v>
      </c>
      <c r="E3465" s="66"/>
      <c r="F3465" s="57"/>
    </row>
    <row r="3466" spans="1:203" s="58" customFormat="1" ht="30" hidden="1" customHeight="1" outlineLevel="1" x14ac:dyDescent="0.4">
      <c r="A3466" s="54"/>
      <c r="B3466" s="48" t="s">
        <v>554</v>
      </c>
      <c r="C3466" s="49" t="s">
        <v>58</v>
      </c>
      <c r="D3466" s="75">
        <v>42</v>
      </c>
      <c r="E3466" s="51"/>
      <c r="F3466" s="57"/>
    </row>
    <row r="3467" spans="1:203" s="58" customFormat="1" ht="30" hidden="1" customHeight="1" outlineLevel="1" x14ac:dyDescent="0.4">
      <c r="A3467" s="54"/>
      <c r="B3467" s="48" t="s">
        <v>555</v>
      </c>
      <c r="C3467" s="49" t="s">
        <v>58</v>
      </c>
      <c r="D3467" s="75">
        <v>4</v>
      </c>
      <c r="E3467" s="51"/>
      <c r="F3467" s="57"/>
    </row>
    <row r="3468" spans="1:203" s="58" customFormat="1" ht="30" hidden="1" customHeight="1" outlineLevel="1" x14ac:dyDescent="0.4">
      <c r="A3468" s="54"/>
      <c r="B3468" s="48" t="s">
        <v>556</v>
      </c>
      <c r="C3468" s="49" t="s">
        <v>58</v>
      </c>
      <c r="D3468" s="75">
        <v>3</v>
      </c>
      <c r="E3468" s="51"/>
      <c r="F3468" s="57"/>
    </row>
    <row r="3469" spans="1:203" s="58" customFormat="1" ht="30" hidden="1" customHeight="1" outlineLevel="1" x14ac:dyDescent="0.4">
      <c r="A3469" s="54"/>
      <c r="B3469" s="48" t="s">
        <v>557</v>
      </c>
      <c r="C3469" s="49" t="s">
        <v>58</v>
      </c>
      <c r="D3469" s="75">
        <v>4</v>
      </c>
      <c r="E3469" s="51"/>
      <c r="F3469" s="57"/>
    </row>
    <row r="3470" spans="1:203" s="58" customFormat="1" ht="30" hidden="1" customHeight="1" outlineLevel="1" x14ac:dyDescent="0.4">
      <c r="A3470" s="54"/>
      <c r="B3470" s="48" t="s">
        <v>559</v>
      </c>
      <c r="C3470" s="49" t="s">
        <v>58</v>
      </c>
      <c r="D3470" s="75">
        <v>1</v>
      </c>
      <c r="E3470" s="51"/>
      <c r="F3470" s="57"/>
    </row>
    <row r="3471" spans="1:203" s="58" customFormat="1" ht="46.3" collapsed="1" x14ac:dyDescent="0.4">
      <c r="A3471" s="24">
        <f>A3465+1</f>
        <v>1436</v>
      </c>
      <c r="B3471" s="59" t="s">
        <v>364</v>
      </c>
      <c r="C3471" s="70" t="s">
        <v>19</v>
      </c>
      <c r="D3471" s="67">
        <v>74.489999999999995</v>
      </c>
      <c r="E3471" s="66"/>
      <c r="F3471" s="57"/>
    </row>
    <row r="3472" spans="1:203" s="58" customFormat="1" ht="30.9" hidden="1" outlineLevel="1" x14ac:dyDescent="0.4">
      <c r="A3472" s="54"/>
      <c r="B3472" s="48" t="s">
        <v>365</v>
      </c>
      <c r="C3472" s="49" t="s">
        <v>19</v>
      </c>
      <c r="D3472" s="68">
        <v>74.489999999999995</v>
      </c>
      <c r="E3472" s="69">
        <v>1E-3</v>
      </c>
      <c r="F3472" s="57"/>
      <c r="J3472" s="58">
        <v>1.08</v>
      </c>
    </row>
    <row r="3473" spans="1:28" s="58" customFormat="1" ht="30" customHeight="1" collapsed="1" x14ac:dyDescent="0.4">
      <c r="A3473" s="24">
        <f>A3471+1</f>
        <v>1437</v>
      </c>
      <c r="B3473" s="59" t="s">
        <v>366</v>
      </c>
      <c r="C3473" s="70" t="s">
        <v>29</v>
      </c>
      <c r="D3473" s="67">
        <v>1315.16</v>
      </c>
      <c r="E3473" s="66"/>
      <c r="F3473" s="57"/>
    </row>
    <row r="3474" spans="1:28" s="58" customFormat="1" ht="30" hidden="1" customHeight="1" outlineLevel="1" x14ac:dyDescent="0.4">
      <c r="A3474" s="54"/>
      <c r="B3474" s="48" t="s">
        <v>367</v>
      </c>
      <c r="C3474" s="49" t="s">
        <v>29</v>
      </c>
      <c r="D3474" s="68">
        <v>1315.16</v>
      </c>
      <c r="E3474" s="69"/>
      <c r="F3474" s="57"/>
      <c r="J3474" s="58">
        <v>1.22</v>
      </c>
    </row>
    <row r="3475" spans="1:28" ht="30" customHeight="1" collapsed="1" x14ac:dyDescent="0.35">
      <c r="A3475" s="24">
        <f>A3473+1</f>
        <v>1438</v>
      </c>
      <c r="B3475" s="59" t="s">
        <v>560</v>
      </c>
      <c r="C3475" s="70" t="s">
        <v>561</v>
      </c>
      <c r="D3475" s="82">
        <f>((D3398/10)+((D3400+D3401)*2))*0.1</f>
        <v>13.006</v>
      </c>
      <c r="E3475" s="66"/>
      <c r="F3475" s="42"/>
    </row>
    <row r="3476" spans="1:28" ht="31" customHeight="1" x14ac:dyDescent="0.35">
      <c r="A3476" s="24">
        <f>A3475+1</f>
        <v>1439</v>
      </c>
      <c r="B3476" s="25" t="s">
        <v>562</v>
      </c>
      <c r="C3476" s="70" t="s">
        <v>561</v>
      </c>
      <c r="D3476" s="73">
        <f>((D3403/10)+(D3410/10)+((D3406+D3407)*3)+(D3408*1)+((D3412+D3413)*2)+(D3414*3)+(D3415*1)+((D3416+D3417+D3418+D3419)*3))*0.1</f>
        <v>20.342000000000002</v>
      </c>
      <c r="E3476" s="41"/>
      <c r="F3476" s="42"/>
    </row>
    <row r="3477" spans="1:28" ht="31" customHeight="1" x14ac:dyDescent="0.35">
      <c r="A3477" s="24">
        <f t="shared" ref="A3477:A3487" si="22">A3476+1</f>
        <v>1440</v>
      </c>
      <c r="B3477" s="25" t="s">
        <v>563</v>
      </c>
      <c r="C3477" s="70" t="s">
        <v>561</v>
      </c>
      <c r="D3477" s="73">
        <f>((D3420/10)+((D3422+D3423)*2)+(D3424*3)+((D3425+D3426+D3427+D3428)*1))*0.1</f>
        <v>36.831000000000003</v>
      </c>
      <c r="E3477" s="41"/>
      <c r="F3477" s="42"/>
    </row>
    <row r="3478" spans="1:28" ht="31" customHeight="1" x14ac:dyDescent="0.35">
      <c r="A3478" s="24">
        <f t="shared" si="22"/>
        <v>1441</v>
      </c>
      <c r="B3478" s="25" t="s">
        <v>564</v>
      </c>
      <c r="C3478" s="70" t="s">
        <v>561</v>
      </c>
      <c r="D3478" s="73">
        <f>((D3429/10)+(D3431*2)+(D3432*3)+(D3433/10)+(D3435*2)+(D3436*1))*0.1</f>
        <v>16.761000000000003</v>
      </c>
      <c r="E3478" s="41"/>
      <c r="F3478" s="42"/>
    </row>
    <row r="3479" spans="1:28" ht="30" customHeight="1" x14ac:dyDescent="0.35">
      <c r="A3479" s="24">
        <f t="shared" si="22"/>
        <v>1442</v>
      </c>
      <c r="B3479" s="59" t="s">
        <v>565</v>
      </c>
      <c r="C3479" s="70" t="s">
        <v>561</v>
      </c>
      <c r="D3479" s="82">
        <f>D3475</f>
        <v>13.006</v>
      </c>
      <c r="E3479" s="66"/>
      <c r="F3479" s="42"/>
    </row>
    <row r="3480" spans="1:28" ht="31" customHeight="1" x14ac:dyDescent="0.35">
      <c r="A3480" s="24">
        <f t="shared" si="22"/>
        <v>1443</v>
      </c>
      <c r="B3480" s="25" t="s">
        <v>566</v>
      </c>
      <c r="C3480" s="70" t="s">
        <v>561</v>
      </c>
      <c r="D3480" s="73">
        <f>D3476</f>
        <v>20.342000000000002</v>
      </c>
      <c r="E3480" s="41"/>
      <c r="F3480" s="42"/>
    </row>
    <row r="3481" spans="1:28" ht="31" customHeight="1" x14ac:dyDescent="0.35">
      <c r="A3481" s="24">
        <f t="shared" si="22"/>
        <v>1444</v>
      </c>
      <c r="B3481" s="25" t="s">
        <v>567</v>
      </c>
      <c r="C3481" s="70" t="s">
        <v>561</v>
      </c>
      <c r="D3481" s="73">
        <f>D3477</f>
        <v>36.831000000000003</v>
      </c>
      <c r="E3481" s="41"/>
      <c r="F3481" s="42"/>
    </row>
    <row r="3482" spans="1:28" ht="31" customHeight="1" x14ac:dyDescent="0.35">
      <c r="A3482" s="24">
        <f t="shared" si="22"/>
        <v>1445</v>
      </c>
      <c r="B3482" s="25" t="s">
        <v>568</v>
      </c>
      <c r="C3482" s="70" t="s">
        <v>561</v>
      </c>
      <c r="D3482" s="73">
        <f>D3478</f>
        <v>16.761000000000003</v>
      </c>
      <c r="E3482" s="41"/>
      <c r="F3482" s="42"/>
    </row>
    <row r="3483" spans="1:28" ht="31" customHeight="1" x14ac:dyDescent="0.35">
      <c r="A3483" s="24">
        <f t="shared" si="22"/>
        <v>1446</v>
      </c>
      <c r="B3483" s="25" t="s">
        <v>569</v>
      </c>
      <c r="C3483" s="89" t="s">
        <v>570</v>
      </c>
      <c r="D3483" s="73">
        <f>D3475</f>
        <v>13.006</v>
      </c>
      <c r="E3483" s="41"/>
      <c r="F3483" s="42"/>
    </row>
    <row r="3484" spans="1:28" ht="31" customHeight="1" x14ac:dyDescent="0.35">
      <c r="A3484" s="24">
        <f t="shared" si="22"/>
        <v>1447</v>
      </c>
      <c r="B3484" s="25" t="s">
        <v>571</v>
      </c>
      <c r="C3484" s="89" t="s">
        <v>570</v>
      </c>
      <c r="D3484" s="26">
        <v>10</v>
      </c>
      <c r="E3484" s="41"/>
      <c r="F3484" s="42"/>
    </row>
    <row r="3485" spans="1:28" ht="31" customHeight="1" x14ac:dyDescent="0.35">
      <c r="A3485" s="24">
        <f t="shared" si="22"/>
        <v>1448</v>
      </c>
      <c r="B3485" s="25" t="s">
        <v>572</v>
      </c>
      <c r="C3485" s="89" t="s">
        <v>570</v>
      </c>
      <c r="D3485" s="26">
        <v>10</v>
      </c>
      <c r="E3485" s="41"/>
      <c r="F3485" s="42"/>
    </row>
    <row r="3486" spans="1:28" ht="31" customHeight="1" x14ac:dyDescent="0.35">
      <c r="A3486" s="24">
        <f t="shared" si="22"/>
        <v>1449</v>
      </c>
      <c r="B3486" s="25" t="s">
        <v>573</v>
      </c>
      <c r="C3486" s="89" t="s">
        <v>570</v>
      </c>
      <c r="D3486" s="73">
        <f>D3481</f>
        <v>36.831000000000003</v>
      </c>
      <c r="E3486" s="41"/>
      <c r="F3486" s="42"/>
    </row>
    <row r="3487" spans="1:28" ht="31" customHeight="1" x14ac:dyDescent="0.35">
      <c r="A3487" s="24">
        <f t="shared" si="22"/>
        <v>1450</v>
      </c>
      <c r="B3487" s="25" t="s">
        <v>574</v>
      </c>
      <c r="C3487" s="89" t="s">
        <v>570</v>
      </c>
      <c r="D3487" s="73">
        <f>D3482</f>
        <v>16.761000000000003</v>
      </c>
      <c r="E3487" s="41"/>
      <c r="F3487" s="42"/>
    </row>
    <row r="3488" spans="1:28" s="39" customFormat="1" ht="30" customHeight="1" x14ac:dyDescent="0.35">
      <c r="A3488" s="153" t="s">
        <v>1190</v>
      </c>
      <c r="B3488" s="153"/>
      <c r="C3488" s="153"/>
      <c r="D3488" s="153"/>
      <c r="E3488" s="153"/>
      <c r="F3488" s="34"/>
      <c r="G3488" s="35"/>
      <c r="H3488" s="36"/>
      <c r="I3488" s="37"/>
      <c r="J3488" s="37"/>
      <c r="K3488" s="38"/>
      <c r="L3488" s="38"/>
      <c r="M3488" s="38"/>
      <c r="N3488" s="36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</row>
    <row r="3489" spans="1:28" s="39" customFormat="1" ht="21" customHeight="1" x14ac:dyDescent="0.35">
      <c r="A3489" s="158" t="s">
        <v>1191</v>
      </c>
      <c r="B3489" s="158"/>
      <c r="C3489" s="158"/>
      <c r="D3489" s="158"/>
      <c r="E3489" s="158"/>
      <c r="F3489" s="34"/>
      <c r="G3489" s="35"/>
      <c r="H3489" s="36"/>
      <c r="I3489" s="37"/>
      <c r="J3489" s="37"/>
      <c r="K3489" s="38"/>
      <c r="L3489" s="38"/>
      <c r="M3489" s="38"/>
      <c r="N3489" s="36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</row>
    <row r="3490" spans="1:28" s="58" customFormat="1" ht="30" customHeight="1" x14ac:dyDescent="0.4">
      <c r="A3490" s="92">
        <f>A3487+1</f>
        <v>1451</v>
      </c>
      <c r="B3490" s="25" t="s">
        <v>1192</v>
      </c>
      <c r="C3490" s="89" t="s">
        <v>58</v>
      </c>
      <c r="D3490" s="90">
        <v>1</v>
      </c>
      <c r="E3490" s="91"/>
      <c r="F3490" s="57"/>
    </row>
    <row r="3491" spans="1:28" s="58" customFormat="1" ht="30" hidden="1" customHeight="1" outlineLevel="1" x14ac:dyDescent="0.4">
      <c r="A3491" s="87"/>
      <c r="B3491" s="48" t="s">
        <v>1193</v>
      </c>
      <c r="C3491" s="75" t="s">
        <v>58</v>
      </c>
      <c r="D3491" s="74">
        <v>1</v>
      </c>
      <c r="E3491" s="88">
        <v>3.71</v>
      </c>
      <c r="F3491" s="57"/>
    </row>
    <row r="3492" spans="1:28" s="58" customFormat="1" ht="30" customHeight="1" collapsed="1" x14ac:dyDescent="0.4">
      <c r="A3492" s="92">
        <f>A3482+1</f>
        <v>1446</v>
      </c>
      <c r="B3492" s="25" t="s">
        <v>1194</v>
      </c>
      <c r="C3492" s="89" t="s">
        <v>58</v>
      </c>
      <c r="D3492" s="90">
        <v>3</v>
      </c>
      <c r="E3492" s="91"/>
      <c r="F3492" s="57"/>
    </row>
    <row r="3493" spans="1:28" s="58" customFormat="1" ht="30" hidden="1" customHeight="1" outlineLevel="1" x14ac:dyDescent="0.4">
      <c r="A3493" s="87"/>
      <c r="B3493" s="48" t="s">
        <v>1195</v>
      </c>
      <c r="C3493" s="75" t="s">
        <v>58</v>
      </c>
      <c r="D3493" s="74">
        <v>2</v>
      </c>
      <c r="E3493" s="88">
        <v>3.71</v>
      </c>
      <c r="F3493" s="57"/>
    </row>
    <row r="3494" spans="1:28" s="58" customFormat="1" ht="30" hidden="1" customHeight="1" outlineLevel="1" x14ac:dyDescent="0.4">
      <c r="A3494" s="87"/>
      <c r="B3494" s="48" t="s">
        <v>1196</v>
      </c>
      <c r="C3494" s="75" t="s">
        <v>58</v>
      </c>
      <c r="D3494" s="74">
        <v>1</v>
      </c>
      <c r="E3494" s="88">
        <v>3.71</v>
      </c>
      <c r="F3494" s="57"/>
    </row>
    <row r="3495" spans="1:28" s="58" customFormat="1" ht="30" customHeight="1" collapsed="1" x14ac:dyDescent="0.4">
      <c r="A3495" s="92">
        <f>A3492+1</f>
        <v>1447</v>
      </c>
      <c r="B3495" s="25" t="s">
        <v>1197</v>
      </c>
      <c r="C3495" s="89" t="s">
        <v>58</v>
      </c>
      <c r="D3495" s="90">
        <v>1</v>
      </c>
      <c r="E3495" s="91"/>
      <c r="F3495" s="57"/>
    </row>
    <row r="3496" spans="1:28" s="58" customFormat="1" ht="30" hidden="1" customHeight="1" outlineLevel="1" x14ac:dyDescent="0.4">
      <c r="A3496" s="87"/>
      <c r="B3496" s="48" t="s">
        <v>1198</v>
      </c>
      <c r="C3496" s="75" t="s">
        <v>58</v>
      </c>
      <c r="D3496" s="74">
        <v>1</v>
      </c>
      <c r="E3496" s="88">
        <v>3.71</v>
      </c>
      <c r="F3496" s="57"/>
    </row>
    <row r="3497" spans="1:28" s="58" customFormat="1" ht="30" customHeight="1" collapsed="1" x14ac:dyDescent="0.4">
      <c r="A3497" s="92">
        <f>A3495+1</f>
        <v>1448</v>
      </c>
      <c r="B3497" s="25" t="s">
        <v>1199</v>
      </c>
      <c r="C3497" s="89" t="s">
        <v>132</v>
      </c>
      <c r="D3497" s="90">
        <v>530</v>
      </c>
      <c r="E3497" s="91"/>
      <c r="F3497" s="57"/>
    </row>
    <row r="3498" spans="1:28" s="58" customFormat="1" ht="46.3" hidden="1" outlineLevel="1" x14ac:dyDescent="0.4">
      <c r="A3498" s="87"/>
      <c r="B3498" s="48" t="s">
        <v>1200</v>
      </c>
      <c r="C3498" s="75" t="s">
        <v>132</v>
      </c>
      <c r="D3498" s="74">
        <v>530</v>
      </c>
      <c r="E3498" s="88">
        <v>3.71</v>
      </c>
      <c r="F3498" s="57"/>
    </row>
    <row r="3499" spans="1:28" s="58" customFormat="1" ht="30" customHeight="1" collapsed="1" x14ac:dyDescent="0.4">
      <c r="A3499" s="92">
        <f>A3497+1</f>
        <v>1449</v>
      </c>
      <c r="B3499" s="25" t="s">
        <v>889</v>
      </c>
      <c r="C3499" s="89" t="s">
        <v>132</v>
      </c>
      <c r="D3499" s="90">
        <v>84</v>
      </c>
      <c r="E3499" s="91"/>
      <c r="F3499" s="57"/>
    </row>
    <row r="3500" spans="1:28" s="58" customFormat="1" ht="46.3" hidden="1" outlineLevel="1" x14ac:dyDescent="0.4">
      <c r="A3500" s="87"/>
      <c r="B3500" s="48" t="s">
        <v>1201</v>
      </c>
      <c r="C3500" s="75" t="s">
        <v>132</v>
      </c>
      <c r="D3500" s="74">
        <v>84</v>
      </c>
      <c r="E3500" s="88">
        <v>0.32500000000000001</v>
      </c>
      <c r="F3500" s="57"/>
    </row>
    <row r="3501" spans="1:28" s="58" customFormat="1" ht="30" customHeight="1" collapsed="1" x14ac:dyDescent="0.4">
      <c r="A3501" s="92">
        <f>A3499+1</f>
        <v>1450</v>
      </c>
      <c r="B3501" s="25" t="s">
        <v>1202</v>
      </c>
      <c r="C3501" s="89" t="s">
        <v>132</v>
      </c>
      <c r="D3501" s="90">
        <v>315</v>
      </c>
      <c r="E3501" s="91"/>
      <c r="F3501" s="57"/>
    </row>
    <row r="3502" spans="1:28" s="58" customFormat="1" ht="46.3" hidden="1" outlineLevel="1" x14ac:dyDescent="0.4">
      <c r="A3502" s="87"/>
      <c r="B3502" s="48" t="s">
        <v>1203</v>
      </c>
      <c r="C3502" s="75" t="s">
        <v>132</v>
      </c>
      <c r="D3502" s="74">
        <v>315</v>
      </c>
      <c r="E3502" s="88">
        <v>0.36499999999999999</v>
      </c>
      <c r="F3502" s="57"/>
    </row>
    <row r="3503" spans="1:28" s="58" customFormat="1" ht="30" customHeight="1" collapsed="1" x14ac:dyDescent="0.4">
      <c r="A3503" s="92">
        <f>A3501+1</f>
        <v>1451</v>
      </c>
      <c r="B3503" s="25" t="s">
        <v>431</v>
      </c>
      <c r="C3503" s="89" t="s">
        <v>132</v>
      </c>
      <c r="D3503" s="90">
        <f>600+824+280+1070+138+10+1233</f>
        <v>4155</v>
      </c>
      <c r="E3503" s="91"/>
      <c r="F3503" s="57"/>
    </row>
    <row r="3504" spans="1:28" s="58" customFormat="1" ht="46.3" hidden="1" outlineLevel="1" x14ac:dyDescent="0.4">
      <c r="A3504" s="87"/>
      <c r="B3504" s="48" t="s">
        <v>1204</v>
      </c>
      <c r="C3504" s="75" t="s">
        <v>132</v>
      </c>
      <c r="D3504" s="74">
        <v>600</v>
      </c>
      <c r="E3504" s="88">
        <v>0.44400000000000001</v>
      </c>
      <c r="F3504" s="57"/>
    </row>
    <row r="3505" spans="1:203" s="58" customFormat="1" ht="46.3" hidden="1" outlineLevel="1" x14ac:dyDescent="0.4">
      <c r="A3505" s="87"/>
      <c r="B3505" s="48" t="s">
        <v>1205</v>
      </c>
      <c r="C3505" s="75" t="s">
        <v>132</v>
      </c>
      <c r="D3505" s="74">
        <v>824</v>
      </c>
      <c r="E3505" s="88">
        <v>0.39600000000000002</v>
      </c>
      <c r="F3505" s="57"/>
    </row>
    <row r="3506" spans="1:203" s="58" customFormat="1" ht="46.3" hidden="1" outlineLevel="1" x14ac:dyDescent="0.4">
      <c r="A3506" s="87"/>
      <c r="B3506" s="48" t="s">
        <v>1206</v>
      </c>
      <c r="C3506" s="75" t="s">
        <v>132</v>
      </c>
      <c r="D3506" s="74">
        <v>280</v>
      </c>
      <c r="E3506" s="88">
        <v>9.8000000000000004E-2</v>
      </c>
      <c r="F3506" s="57"/>
    </row>
    <row r="3507" spans="1:203" s="58" customFormat="1" ht="46.3" hidden="1" outlineLevel="1" x14ac:dyDescent="0.4">
      <c r="A3507" s="87"/>
      <c r="B3507" s="48" t="s">
        <v>1207</v>
      </c>
      <c r="C3507" s="75" t="s">
        <v>132</v>
      </c>
      <c r="D3507" s="74">
        <v>1070</v>
      </c>
      <c r="E3507" s="88">
        <v>0.26800000000000002</v>
      </c>
      <c r="F3507" s="57"/>
    </row>
    <row r="3508" spans="1:203" s="58" customFormat="1" ht="46.3" hidden="1" outlineLevel="1" x14ac:dyDescent="0.4">
      <c r="A3508" s="87"/>
      <c r="B3508" s="48" t="s">
        <v>1208</v>
      </c>
      <c r="C3508" s="75" t="s">
        <v>132</v>
      </c>
      <c r="D3508" s="74">
        <v>138</v>
      </c>
      <c r="E3508" s="88">
        <v>4.3999999999999997E-2</v>
      </c>
      <c r="F3508" s="57"/>
    </row>
    <row r="3509" spans="1:203" s="58" customFormat="1" ht="46.3" hidden="1" outlineLevel="1" x14ac:dyDescent="0.4">
      <c r="A3509" s="87"/>
      <c r="B3509" s="48" t="s">
        <v>1209</v>
      </c>
      <c r="C3509" s="75" t="s">
        <v>132</v>
      </c>
      <c r="D3509" s="74">
        <v>1000</v>
      </c>
      <c r="E3509" s="88">
        <v>2E-3</v>
      </c>
      <c r="F3509" s="57"/>
    </row>
    <row r="3510" spans="1:203" s="58" customFormat="1" ht="46.3" hidden="1" outlineLevel="1" x14ac:dyDescent="0.4">
      <c r="A3510" s="87"/>
      <c r="B3510" s="48" t="s">
        <v>1210</v>
      </c>
      <c r="C3510" s="75" t="s">
        <v>132</v>
      </c>
      <c r="D3510" s="74">
        <v>1233</v>
      </c>
      <c r="E3510" s="88">
        <v>0.56699999999999995</v>
      </c>
      <c r="F3510" s="57"/>
    </row>
    <row r="3511" spans="1:203" s="58" customFormat="1" ht="30" customHeight="1" collapsed="1" x14ac:dyDescent="0.4">
      <c r="A3511" s="92">
        <f>A3503+1</f>
        <v>1452</v>
      </c>
      <c r="B3511" s="25" t="s">
        <v>316</v>
      </c>
      <c r="C3511" s="89" t="s">
        <v>132</v>
      </c>
      <c r="D3511" s="96">
        <v>20</v>
      </c>
      <c r="E3511" s="98"/>
      <c r="F3511" s="57"/>
    </row>
    <row r="3512" spans="1:203" s="58" customFormat="1" ht="30" hidden="1" customHeight="1" outlineLevel="1" x14ac:dyDescent="0.4">
      <c r="A3512" s="87"/>
      <c r="B3512" s="48" t="s">
        <v>317</v>
      </c>
      <c r="C3512" s="75" t="s">
        <v>132</v>
      </c>
      <c r="D3512" s="74">
        <v>20</v>
      </c>
      <c r="E3512" s="93"/>
      <c r="F3512" s="57"/>
    </row>
    <row r="3513" spans="1:203" s="58" customFormat="1" ht="30" hidden="1" customHeight="1" outlineLevel="1" x14ac:dyDescent="0.4">
      <c r="A3513" s="54"/>
      <c r="B3513" s="48" t="s">
        <v>318</v>
      </c>
      <c r="C3513" s="49" t="s">
        <v>58</v>
      </c>
      <c r="D3513" s="74">
        <v>16</v>
      </c>
      <c r="E3513" s="51">
        <v>1E-3</v>
      </c>
      <c r="F3513" s="57"/>
    </row>
    <row r="3514" spans="1:203" s="58" customFormat="1" ht="30" hidden="1" customHeight="1" outlineLevel="1" x14ac:dyDescent="0.4">
      <c r="A3514" s="54"/>
      <c r="B3514" s="48" t="s">
        <v>319</v>
      </c>
      <c r="C3514" s="49" t="s">
        <v>58</v>
      </c>
      <c r="D3514" s="74">
        <v>40</v>
      </c>
      <c r="E3514" s="51">
        <f>0.02*40/1000</f>
        <v>8.0000000000000004E-4</v>
      </c>
      <c r="F3514" s="57"/>
    </row>
    <row r="3515" spans="1:203" s="58" customFormat="1" ht="30" hidden="1" customHeight="1" outlineLevel="1" x14ac:dyDescent="0.4">
      <c r="A3515" s="54"/>
      <c r="B3515" s="48" t="s">
        <v>1211</v>
      </c>
      <c r="C3515" s="49" t="s">
        <v>132</v>
      </c>
      <c r="D3515" s="74">
        <v>100</v>
      </c>
      <c r="E3515" s="69"/>
      <c r="F3515" s="57"/>
    </row>
    <row r="3516" spans="1:203" s="58" customFormat="1" ht="30" hidden="1" customHeight="1" outlineLevel="1" x14ac:dyDescent="0.4">
      <c r="A3516" s="54"/>
      <c r="B3516" s="48" t="s">
        <v>320</v>
      </c>
      <c r="C3516" s="49" t="s">
        <v>58</v>
      </c>
      <c r="D3516" s="55">
        <v>40</v>
      </c>
      <c r="E3516" s="51">
        <f>0.04*40/1000</f>
        <v>1.6000000000000001E-3</v>
      </c>
      <c r="F3516" s="57"/>
    </row>
    <row r="3517" spans="1:203" s="58" customFormat="1" ht="30" hidden="1" customHeight="1" outlineLevel="1" x14ac:dyDescent="0.4">
      <c r="A3517" s="54"/>
      <c r="B3517" s="48" t="s">
        <v>296</v>
      </c>
      <c r="C3517" s="49" t="s">
        <v>58</v>
      </c>
      <c r="D3517" s="55">
        <v>40</v>
      </c>
      <c r="E3517" s="51">
        <v>1E-3</v>
      </c>
      <c r="F3517" s="57"/>
    </row>
    <row r="3518" spans="1:203" s="58" customFormat="1" ht="30" hidden="1" customHeight="1" outlineLevel="1" x14ac:dyDescent="0.4">
      <c r="A3518" s="54"/>
      <c r="B3518" s="48" t="s">
        <v>321</v>
      </c>
      <c r="C3518" s="49" t="s">
        <v>58</v>
      </c>
      <c r="D3518" s="55">
        <v>80</v>
      </c>
      <c r="E3518" s="51">
        <v>1E-3</v>
      </c>
      <c r="F3518" s="57"/>
    </row>
    <row r="3519" spans="1:203" s="43" customFormat="1" ht="36" customHeight="1" collapsed="1" x14ac:dyDescent="0.35">
      <c r="A3519" s="92">
        <f>A3511+1</f>
        <v>1453</v>
      </c>
      <c r="B3519" s="59" t="s">
        <v>302</v>
      </c>
      <c r="C3519" s="26" t="s">
        <v>58</v>
      </c>
      <c r="D3519" s="96">
        <v>192</v>
      </c>
      <c r="E3519" s="41"/>
      <c r="F3519" s="42"/>
      <c r="H3519" s="44"/>
      <c r="K3519" s="45"/>
      <c r="L3519" s="45"/>
      <c r="M3519" s="45"/>
      <c r="N3519" s="44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6"/>
      <c r="AD3519" s="46"/>
      <c r="AE3519" s="46"/>
      <c r="AF3519" s="46"/>
      <c r="AG3519" s="46"/>
      <c r="AH3519" s="46"/>
      <c r="AI3519" s="46"/>
      <c r="AJ3519" s="46"/>
      <c r="AK3519" s="46"/>
      <c r="AL3519" s="46"/>
      <c r="AM3519" s="46"/>
      <c r="AN3519" s="46"/>
      <c r="AO3519" s="46"/>
      <c r="AP3519" s="46"/>
      <c r="AQ3519" s="46"/>
      <c r="AR3519" s="46"/>
      <c r="AS3519" s="46"/>
      <c r="AT3519" s="46"/>
      <c r="AU3519" s="46"/>
      <c r="AV3519" s="46"/>
      <c r="AW3519" s="46"/>
      <c r="AX3519" s="46"/>
      <c r="AY3519" s="46"/>
      <c r="AZ3519" s="46"/>
      <c r="BA3519" s="46"/>
      <c r="BB3519" s="46"/>
      <c r="BC3519" s="46"/>
      <c r="BD3519" s="46"/>
      <c r="BE3519" s="46"/>
      <c r="BF3519" s="46"/>
      <c r="BG3519" s="46"/>
      <c r="BH3519" s="46"/>
      <c r="BI3519" s="46"/>
      <c r="BJ3519" s="46"/>
      <c r="BK3519" s="46"/>
      <c r="BL3519" s="46"/>
      <c r="BM3519" s="46"/>
      <c r="BN3519" s="46"/>
      <c r="BO3519" s="46"/>
      <c r="BP3519" s="46"/>
      <c r="BQ3519" s="46"/>
      <c r="BR3519" s="46"/>
      <c r="BS3519" s="46"/>
      <c r="BT3519" s="46"/>
      <c r="BU3519" s="46"/>
      <c r="BV3519" s="46"/>
      <c r="BW3519" s="46"/>
      <c r="BX3519" s="46"/>
      <c r="BY3519" s="46"/>
      <c r="BZ3519" s="46"/>
      <c r="CA3519" s="46"/>
      <c r="CB3519" s="46"/>
      <c r="CC3519" s="46"/>
      <c r="CD3519" s="46"/>
      <c r="CE3519" s="46"/>
      <c r="CF3519" s="46"/>
      <c r="CG3519" s="46"/>
      <c r="CH3519" s="46"/>
      <c r="CI3519" s="46"/>
      <c r="CJ3519" s="46"/>
      <c r="CK3519" s="46"/>
      <c r="CL3519" s="46"/>
      <c r="CM3519" s="46"/>
      <c r="CN3519" s="46"/>
      <c r="CO3519" s="46"/>
      <c r="CP3519" s="46"/>
      <c r="CQ3519" s="46"/>
      <c r="CR3519" s="46"/>
      <c r="CS3519" s="46"/>
      <c r="CT3519" s="46"/>
      <c r="CU3519" s="46"/>
      <c r="CV3519" s="46"/>
      <c r="CW3519" s="46"/>
      <c r="CX3519" s="46"/>
      <c r="CY3519" s="46"/>
      <c r="CZ3519" s="46"/>
      <c r="DA3519" s="46"/>
      <c r="DB3519" s="46"/>
      <c r="DC3519" s="46"/>
      <c r="DD3519" s="46"/>
      <c r="DE3519" s="46"/>
      <c r="DF3519" s="46"/>
      <c r="DG3519" s="46"/>
      <c r="DH3519" s="46"/>
      <c r="DI3519" s="46"/>
      <c r="DJ3519" s="46"/>
      <c r="DK3519" s="46"/>
      <c r="DL3519" s="46"/>
      <c r="DM3519" s="46"/>
      <c r="DN3519" s="46"/>
      <c r="DO3519" s="46"/>
      <c r="DP3519" s="46"/>
      <c r="DQ3519" s="46"/>
      <c r="DR3519" s="46"/>
      <c r="DS3519" s="46"/>
      <c r="DT3519" s="46"/>
      <c r="DU3519" s="46"/>
      <c r="DV3519" s="46"/>
      <c r="DW3519" s="46"/>
      <c r="DX3519" s="46"/>
      <c r="DY3519" s="46"/>
      <c r="DZ3519" s="46"/>
      <c r="EA3519" s="46"/>
      <c r="EB3519" s="46"/>
      <c r="EC3519" s="46"/>
      <c r="ED3519" s="46"/>
      <c r="EE3519" s="46"/>
      <c r="EF3519" s="46"/>
      <c r="EG3519" s="46"/>
      <c r="EH3519" s="46"/>
      <c r="EI3519" s="46"/>
      <c r="EJ3519" s="46"/>
      <c r="EK3519" s="46"/>
      <c r="EL3519" s="46"/>
      <c r="EM3519" s="46"/>
      <c r="EN3519" s="46"/>
      <c r="EO3519" s="46"/>
      <c r="EP3519" s="46"/>
      <c r="EQ3519" s="46"/>
      <c r="ER3519" s="46"/>
      <c r="ES3519" s="46"/>
      <c r="ET3519" s="46"/>
      <c r="EU3519" s="46"/>
      <c r="EV3519" s="46"/>
      <c r="EW3519" s="46"/>
      <c r="EX3519" s="46"/>
      <c r="EY3519" s="46"/>
      <c r="EZ3519" s="46"/>
      <c r="FA3519" s="46"/>
      <c r="FB3519" s="46"/>
      <c r="FC3519" s="46"/>
      <c r="FD3519" s="46"/>
      <c r="FE3519" s="46"/>
      <c r="FF3519" s="46"/>
      <c r="FG3519" s="46"/>
      <c r="FH3519" s="46"/>
      <c r="FI3519" s="46"/>
      <c r="FJ3519" s="46"/>
      <c r="FK3519" s="46"/>
      <c r="FL3519" s="46"/>
      <c r="FM3519" s="46"/>
      <c r="FN3519" s="46"/>
      <c r="FO3519" s="46"/>
      <c r="FP3519" s="46"/>
      <c r="FQ3519" s="46"/>
      <c r="FR3519" s="46"/>
      <c r="FS3519" s="46"/>
      <c r="FT3519" s="46"/>
      <c r="FU3519" s="46"/>
      <c r="FV3519" s="46"/>
      <c r="FW3519" s="46"/>
      <c r="FX3519" s="46"/>
      <c r="FY3519" s="46"/>
      <c r="FZ3519" s="46"/>
      <c r="GA3519" s="46"/>
      <c r="GB3519" s="46"/>
      <c r="GC3519" s="46"/>
      <c r="GD3519" s="46"/>
      <c r="GE3519" s="46"/>
      <c r="GF3519" s="46"/>
      <c r="GG3519" s="46"/>
      <c r="GH3519" s="46"/>
      <c r="GI3519" s="46"/>
      <c r="GJ3519" s="46"/>
      <c r="GK3519" s="46"/>
      <c r="GL3519" s="46"/>
      <c r="GM3519" s="46"/>
      <c r="GN3519" s="46"/>
      <c r="GO3519" s="46"/>
      <c r="GP3519" s="46"/>
      <c r="GQ3519" s="46"/>
      <c r="GR3519" s="46"/>
      <c r="GS3519" s="46"/>
      <c r="GT3519" s="46"/>
      <c r="GU3519" s="46"/>
    </row>
    <row r="3520" spans="1:203" s="58" customFormat="1" ht="30" hidden="1" customHeight="1" outlineLevel="1" x14ac:dyDescent="0.4">
      <c r="A3520" s="54"/>
      <c r="B3520" s="48" t="s">
        <v>1212</v>
      </c>
      <c r="C3520" s="49" t="s">
        <v>58</v>
      </c>
      <c r="D3520" s="55">
        <v>20</v>
      </c>
      <c r="E3520" s="51">
        <f>0.011*92/1000</f>
        <v>1.0120000000000001E-3</v>
      </c>
      <c r="F3520" s="57"/>
    </row>
    <row r="3521" spans="1:28" s="58" customFormat="1" ht="30" hidden="1" customHeight="1" outlineLevel="1" x14ac:dyDescent="0.4">
      <c r="A3521" s="54"/>
      <c r="B3521" s="48" t="s">
        <v>1213</v>
      </c>
      <c r="C3521" s="49" t="s">
        <v>58</v>
      </c>
      <c r="D3521" s="55">
        <v>20</v>
      </c>
      <c r="E3521" s="51">
        <f>0.011*92/1000</f>
        <v>1.0120000000000001E-3</v>
      </c>
      <c r="F3521" s="57"/>
    </row>
    <row r="3522" spans="1:28" s="58" customFormat="1" ht="30" hidden="1" customHeight="1" outlineLevel="1" x14ac:dyDescent="0.4">
      <c r="A3522" s="54"/>
      <c r="B3522" s="48" t="s">
        <v>1214</v>
      </c>
      <c r="C3522" s="49" t="s">
        <v>58</v>
      </c>
      <c r="D3522" s="55">
        <v>30</v>
      </c>
      <c r="E3522" s="51">
        <f>0.011*92/1000</f>
        <v>1.0120000000000001E-3</v>
      </c>
      <c r="F3522" s="57"/>
    </row>
    <row r="3523" spans="1:28" s="58" customFormat="1" ht="30" hidden="1" customHeight="1" outlineLevel="1" x14ac:dyDescent="0.4">
      <c r="A3523" s="54"/>
      <c r="B3523" s="48" t="s">
        <v>1215</v>
      </c>
      <c r="C3523" s="49" t="s">
        <v>58</v>
      </c>
      <c r="D3523" s="55">
        <v>30</v>
      </c>
      <c r="E3523" s="51">
        <f>0.011*92/1000</f>
        <v>1.0120000000000001E-3</v>
      </c>
      <c r="F3523" s="57"/>
    </row>
    <row r="3524" spans="1:28" s="58" customFormat="1" ht="30" hidden="1" customHeight="1" outlineLevel="1" x14ac:dyDescent="0.4">
      <c r="A3524" s="54"/>
      <c r="B3524" s="48" t="s">
        <v>1216</v>
      </c>
      <c r="C3524" s="49" t="s">
        <v>58</v>
      </c>
      <c r="D3524" s="55">
        <v>92</v>
      </c>
      <c r="E3524" s="51">
        <f>0.011*92/1000</f>
        <v>1.0120000000000001E-3</v>
      </c>
      <c r="F3524" s="57"/>
    </row>
    <row r="3525" spans="1:28" ht="36" customHeight="1" collapsed="1" x14ac:dyDescent="0.35">
      <c r="A3525" s="92">
        <f>A3519+1</f>
        <v>1454</v>
      </c>
      <c r="B3525" s="59" t="s">
        <v>1217</v>
      </c>
      <c r="C3525" s="26" t="s">
        <v>58</v>
      </c>
      <c r="D3525" s="82">
        <v>170</v>
      </c>
      <c r="E3525" s="41"/>
      <c r="F3525" s="42"/>
    </row>
    <row r="3526" spans="1:28" ht="36" customHeight="1" x14ac:dyDescent="0.35">
      <c r="A3526" s="92">
        <f>A3525+1</f>
        <v>1455</v>
      </c>
      <c r="B3526" s="59" t="s">
        <v>1218</v>
      </c>
      <c r="C3526" s="26" t="s">
        <v>58</v>
      </c>
      <c r="D3526" s="82">
        <v>60</v>
      </c>
      <c r="E3526" s="41"/>
      <c r="F3526" s="42"/>
    </row>
    <row r="3527" spans="1:28" ht="36" customHeight="1" x14ac:dyDescent="0.35">
      <c r="A3527" s="92">
        <f>A3526+1</f>
        <v>1456</v>
      </c>
      <c r="B3527" s="59" t="s">
        <v>1219</v>
      </c>
      <c r="C3527" s="26" t="s">
        <v>58</v>
      </c>
      <c r="D3527" s="82">
        <v>20</v>
      </c>
      <c r="E3527" s="41"/>
      <c r="F3527" s="42"/>
    </row>
    <row r="3528" spans="1:28" s="39" customFormat="1" ht="30" customHeight="1" x14ac:dyDescent="0.35">
      <c r="A3528" s="92">
        <f>A3527+1</f>
        <v>1457</v>
      </c>
      <c r="B3528" s="59" t="s">
        <v>1220</v>
      </c>
      <c r="C3528" s="26" t="s">
        <v>58</v>
      </c>
      <c r="D3528" s="40">
        <v>20</v>
      </c>
      <c r="E3528" s="64"/>
      <c r="F3528" s="34"/>
      <c r="G3528" s="35"/>
      <c r="H3528" s="36"/>
      <c r="I3528" s="37"/>
      <c r="J3528" s="37"/>
      <c r="K3528" s="38"/>
      <c r="L3528" s="38"/>
      <c r="M3528" s="38"/>
      <c r="N3528" s="36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</row>
    <row r="3529" spans="1:28" s="58" customFormat="1" ht="30" customHeight="1" x14ac:dyDescent="0.4">
      <c r="A3529" s="92">
        <f>A3528+1</f>
        <v>1458</v>
      </c>
      <c r="B3529" s="25" t="s">
        <v>886</v>
      </c>
      <c r="C3529" s="89" t="s">
        <v>132</v>
      </c>
      <c r="D3529" s="90">
        <v>44</v>
      </c>
      <c r="E3529" s="99"/>
      <c r="F3529" s="57"/>
    </row>
    <row r="3530" spans="1:28" s="58" customFormat="1" ht="30" hidden="1" customHeight="1" outlineLevel="1" x14ac:dyDescent="0.4">
      <c r="A3530" s="87"/>
      <c r="B3530" s="48" t="s">
        <v>887</v>
      </c>
      <c r="C3530" s="75" t="s">
        <v>14</v>
      </c>
      <c r="D3530" s="77">
        <f>44*12.15/1000*1.1</f>
        <v>0.58806000000000014</v>
      </c>
      <c r="E3530" s="88">
        <v>0.58799999999999997</v>
      </c>
      <c r="F3530" s="57"/>
    </row>
    <row r="3531" spans="1:28" s="58" customFormat="1" ht="30" customHeight="1" collapsed="1" x14ac:dyDescent="0.4">
      <c r="A3531" s="92">
        <f>A3529+1</f>
        <v>1459</v>
      </c>
      <c r="B3531" s="25" t="s">
        <v>1221</v>
      </c>
      <c r="C3531" s="89" t="s">
        <v>132</v>
      </c>
      <c r="D3531" s="90">
        <v>115</v>
      </c>
      <c r="E3531" s="99"/>
      <c r="F3531" s="57"/>
    </row>
    <row r="3532" spans="1:28" s="58" customFormat="1" ht="30" hidden="1" customHeight="1" outlineLevel="1" x14ac:dyDescent="0.4">
      <c r="A3532" s="87"/>
      <c r="B3532" s="48" t="s">
        <v>887</v>
      </c>
      <c r="C3532" s="75" t="s">
        <v>14</v>
      </c>
      <c r="D3532" s="77">
        <f>115*2.73/1000*1.1</f>
        <v>0.34534500000000001</v>
      </c>
      <c r="E3532" s="88">
        <v>0.34499999999999997</v>
      </c>
      <c r="F3532" s="57"/>
    </row>
    <row r="3533" spans="1:28" s="58" customFormat="1" ht="30" customHeight="1" collapsed="1" x14ac:dyDescent="0.4">
      <c r="A3533" s="92">
        <f>A3531+1</f>
        <v>1460</v>
      </c>
      <c r="B3533" s="25" t="s">
        <v>281</v>
      </c>
      <c r="C3533" s="89" t="s">
        <v>132</v>
      </c>
      <c r="D3533" s="90">
        <v>46</v>
      </c>
      <c r="E3533" s="91"/>
      <c r="F3533" s="57"/>
    </row>
    <row r="3534" spans="1:28" s="58" customFormat="1" ht="30" hidden="1" customHeight="1" outlineLevel="1" x14ac:dyDescent="0.4">
      <c r="A3534" s="87"/>
      <c r="B3534" s="48" t="s">
        <v>282</v>
      </c>
      <c r="C3534" s="75" t="s">
        <v>132</v>
      </c>
      <c r="D3534" s="74">
        <v>46</v>
      </c>
      <c r="E3534" s="94">
        <f>1.55*46/1000</f>
        <v>7.1300000000000002E-2</v>
      </c>
      <c r="F3534" s="57"/>
    </row>
    <row r="3535" spans="1:28" s="58" customFormat="1" ht="30" hidden="1" customHeight="1" outlineLevel="1" x14ac:dyDescent="0.4">
      <c r="A3535" s="87"/>
      <c r="B3535" s="48" t="s">
        <v>1222</v>
      </c>
      <c r="C3535" s="75" t="s">
        <v>132</v>
      </c>
      <c r="D3535" s="74">
        <v>10</v>
      </c>
      <c r="E3535" s="94">
        <f>0.14*10/1000</f>
        <v>1.4000000000000002E-3</v>
      </c>
      <c r="F3535" s="57"/>
    </row>
    <row r="3536" spans="1:28" s="58" customFormat="1" ht="30" customHeight="1" collapsed="1" x14ac:dyDescent="0.4">
      <c r="A3536" s="92">
        <f>A3533+1</f>
        <v>1461</v>
      </c>
      <c r="B3536" s="25" t="s">
        <v>284</v>
      </c>
      <c r="C3536" s="89" t="s">
        <v>132</v>
      </c>
      <c r="D3536" s="90">
        <v>98</v>
      </c>
      <c r="E3536" s="91"/>
      <c r="F3536" s="57"/>
    </row>
    <row r="3537" spans="1:28" s="58" customFormat="1" ht="30" hidden="1" customHeight="1" outlineLevel="1" x14ac:dyDescent="0.4">
      <c r="A3537" s="87"/>
      <c r="B3537" s="48" t="s">
        <v>285</v>
      </c>
      <c r="C3537" s="75" t="s">
        <v>132</v>
      </c>
      <c r="D3537" s="74">
        <v>98</v>
      </c>
      <c r="E3537" s="94">
        <f>1.55*98/1000</f>
        <v>0.15190000000000001</v>
      </c>
      <c r="F3537" s="57"/>
    </row>
    <row r="3538" spans="1:28" s="58" customFormat="1" ht="30" hidden="1" customHeight="1" outlineLevel="1" x14ac:dyDescent="0.4">
      <c r="A3538" s="87"/>
      <c r="B3538" s="48" t="s">
        <v>1223</v>
      </c>
      <c r="C3538" s="75" t="s">
        <v>132</v>
      </c>
      <c r="D3538" s="74">
        <v>30</v>
      </c>
      <c r="E3538" s="94">
        <f>0.14*30/1000</f>
        <v>4.2000000000000006E-3</v>
      </c>
      <c r="F3538" s="57"/>
    </row>
    <row r="3539" spans="1:28" s="39" customFormat="1" ht="30" customHeight="1" collapsed="1" x14ac:dyDescent="0.35">
      <c r="A3539" s="92">
        <f>A3536+1</f>
        <v>1462</v>
      </c>
      <c r="B3539" s="25" t="s">
        <v>600</v>
      </c>
      <c r="C3539" s="26" t="s">
        <v>19</v>
      </c>
      <c r="D3539" s="40">
        <f>0.9*0.4*110</f>
        <v>39.6</v>
      </c>
      <c r="E3539" s="64"/>
      <c r="F3539" s="34"/>
      <c r="G3539" s="35"/>
      <c r="H3539" s="36"/>
      <c r="I3539" s="37"/>
      <c r="J3539" s="37"/>
      <c r="K3539" s="38"/>
      <c r="L3539" s="38"/>
      <c r="M3539" s="38"/>
      <c r="N3539" s="36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</row>
    <row r="3540" spans="1:28" s="39" customFormat="1" ht="30" customHeight="1" x14ac:dyDescent="0.35">
      <c r="A3540" s="92">
        <f>A3539+1</f>
        <v>1463</v>
      </c>
      <c r="B3540" s="25" t="s">
        <v>287</v>
      </c>
      <c r="C3540" s="26" t="s">
        <v>132</v>
      </c>
      <c r="D3540" s="40">
        <v>110</v>
      </c>
      <c r="E3540" s="64"/>
      <c r="F3540" s="34"/>
      <c r="G3540" s="35"/>
      <c r="H3540" s="36"/>
      <c r="I3540" s="37"/>
      <c r="J3540" s="37"/>
      <c r="K3540" s="38"/>
      <c r="L3540" s="38"/>
      <c r="M3540" s="38"/>
      <c r="N3540" s="36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</row>
    <row r="3541" spans="1:28" s="58" customFormat="1" ht="30" hidden="1" customHeight="1" outlineLevel="1" x14ac:dyDescent="0.4">
      <c r="A3541" s="54"/>
      <c r="B3541" s="48" t="s">
        <v>1224</v>
      </c>
      <c r="C3541" s="49" t="s">
        <v>132</v>
      </c>
      <c r="D3541" s="55">
        <v>110</v>
      </c>
      <c r="E3541" s="51">
        <f>0.0086*110/1000</f>
        <v>9.459999999999999E-4</v>
      </c>
      <c r="F3541" s="57"/>
    </row>
    <row r="3542" spans="1:28" s="39" customFormat="1" ht="30" customHeight="1" collapsed="1" x14ac:dyDescent="0.35">
      <c r="A3542" s="92">
        <f>A3540+1</f>
        <v>1464</v>
      </c>
      <c r="B3542" s="25" t="s">
        <v>278</v>
      </c>
      <c r="C3542" s="26" t="s">
        <v>132</v>
      </c>
      <c r="D3542" s="40">
        <v>110</v>
      </c>
      <c r="E3542" s="64"/>
      <c r="F3542" s="34"/>
      <c r="G3542" s="35"/>
      <c r="H3542" s="36"/>
      <c r="I3542" s="37"/>
      <c r="J3542" s="37"/>
      <c r="K3542" s="38"/>
      <c r="L3542" s="38"/>
      <c r="M3542" s="38"/>
      <c r="N3542" s="36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</row>
    <row r="3543" spans="1:28" s="58" customFormat="1" ht="30" hidden="1" customHeight="1" outlineLevel="1" x14ac:dyDescent="0.4">
      <c r="A3543" s="54"/>
      <c r="B3543" s="48" t="s">
        <v>1225</v>
      </c>
      <c r="C3543" s="49" t="s">
        <v>19</v>
      </c>
      <c r="D3543" s="68">
        <v>13.2</v>
      </c>
      <c r="E3543" s="51"/>
      <c r="F3543" s="57"/>
    </row>
    <row r="3544" spans="1:28" ht="30" customHeight="1" collapsed="1" x14ac:dyDescent="0.35">
      <c r="A3544" s="92">
        <f>A3542+1</f>
        <v>1465</v>
      </c>
      <c r="B3544" s="25" t="s">
        <v>1226</v>
      </c>
      <c r="C3544" s="89" t="s">
        <v>19</v>
      </c>
      <c r="D3544" s="80">
        <f>D3539-13.2</f>
        <v>26.400000000000002</v>
      </c>
      <c r="E3544" s="41"/>
      <c r="F3544" s="42"/>
    </row>
    <row r="3545" spans="1:28" s="58" customFormat="1" ht="30" customHeight="1" x14ac:dyDescent="0.4">
      <c r="A3545" s="92">
        <f>A3544+1</f>
        <v>1466</v>
      </c>
      <c r="B3545" s="71" t="s">
        <v>315</v>
      </c>
      <c r="C3545" s="40" t="s">
        <v>132</v>
      </c>
      <c r="D3545" s="40">
        <v>20</v>
      </c>
      <c r="E3545" s="66"/>
      <c r="F3545" s="57"/>
    </row>
    <row r="3546" spans="1:28" s="58" customFormat="1" ht="30" hidden="1" customHeight="1" outlineLevel="1" x14ac:dyDescent="0.4">
      <c r="A3546" s="87"/>
      <c r="B3546" s="48" t="s">
        <v>314</v>
      </c>
      <c r="C3546" s="75" t="s">
        <v>14</v>
      </c>
      <c r="D3546" s="65">
        <f>20*1.26/1000</f>
        <v>2.52E-2</v>
      </c>
      <c r="E3546" s="88">
        <v>2.5000000000000001E-2</v>
      </c>
      <c r="F3546" s="57"/>
    </row>
    <row r="3547" spans="1:28" s="58" customFormat="1" ht="30" customHeight="1" collapsed="1" x14ac:dyDescent="0.4">
      <c r="A3547" s="92">
        <f>A3545+1</f>
        <v>1467</v>
      </c>
      <c r="B3547" s="59" t="s">
        <v>1227</v>
      </c>
      <c r="C3547" s="26" t="s">
        <v>14</v>
      </c>
      <c r="D3547" s="40">
        <v>1.5429999999999999</v>
      </c>
      <c r="E3547" s="66"/>
      <c r="F3547" s="57"/>
    </row>
    <row r="3548" spans="1:28" s="58" customFormat="1" ht="30" hidden="1" customHeight="1" outlineLevel="1" x14ac:dyDescent="0.4">
      <c r="A3548" s="54"/>
      <c r="B3548" s="48" t="s">
        <v>1228</v>
      </c>
      <c r="C3548" s="49" t="s">
        <v>58</v>
      </c>
      <c r="D3548" s="55">
        <v>870</v>
      </c>
      <c r="E3548" s="51">
        <f>0.54*870/1000</f>
        <v>0.4698</v>
      </c>
      <c r="F3548" s="57"/>
    </row>
    <row r="3549" spans="1:28" s="58" customFormat="1" ht="30" hidden="1" customHeight="1" outlineLevel="1" x14ac:dyDescent="0.4">
      <c r="A3549" s="54"/>
      <c r="B3549" s="48" t="s">
        <v>1229</v>
      </c>
      <c r="C3549" s="49" t="s">
        <v>58</v>
      </c>
      <c r="D3549" s="55">
        <v>220</v>
      </c>
      <c r="E3549" s="51">
        <f>2.12*220/1000</f>
        <v>0.46640000000000004</v>
      </c>
      <c r="F3549" s="57"/>
    </row>
    <row r="3550" spans="1:28" s="58" customFormat="1" ht="30" hidden="1" customHeight="1" outlineLevel="1" x14ac:dyDescent="0.4">
      <c r="A3550" s="54"/>
      <c r="B3550" s="48" t="s">
        <v>1230</v>
      </c>
      <c r="C3550" s="49" t="s">
        <v>58</v>
      </c>
      <c r="D3550" s="55">
        <v>430</v>
      </c>
      <c r="E3550" s="51">
        <f>1.411*430/1000</f>
        <v>0.60672999999999999</v>
      </c>
      <c r="F3550" s="57"/>
    </row>
    <row r="3551" spans="1:28" ht="30" customHeight="1" collapsed="1" x14ac:dyDescent="0.35">
      <c r="A3551" s="92">
        <f>A3547+1</f>
        <v>1468</v>
      </c>
      <c r="B3551" s="25" t="s">
        <v>1231</v>
      </c>
      <c r="C3551" s="89" t="s">
        <v>132</v>
      </c>
      <c r="D3551" s="73">
        <v>882</v>
      </c>
      <c r="E3551" s="41"/>
      <c r="F3551" s="42"/>
    </row>
    <row r="3552" spans="1:28" ht="30" hidden="1" customHeight="1" outlineLevel="1" x14ac:dyDescent="0.35">
      <c r="A3552" s="47"/>
      <c r="B3552" s="48" t="s">
        <v>1232</v>
      </c>
      <c r="C3552" s="49" t="s">
        <v>132</v>
      </c>
      <c r="D3552" s="55">
        <v>882</v>
      </c>
      <c r="E3552" s="94">
        <f>2.24*882/1000</f>
        <v>1.9756800000000003</v>
      </c>
      <c r="F3552" s="42"/>
    </row>
    <row r="3553" spans="1:28" s="58" customFormat="1" ht="30" hidden="1" customHeight="1" outlineLevel="1" x14ac:dyDescent="0.4">
      <c r="A3553" s="54"/>
      <c r="B3553" s="48" t="s">
        <v>1233</v>
      </c>
      <c r="C3553" s="49" t="s">
        <v>132</v>
      </c>
      <c r="D3553" s="55">
        <v>882</v>
      </c>
      <c r="E3553" s="94">
        <f>1.493*882/1000</f>
        <v>1.3168260000000001</v>
      </c>
      <c r="F3553" s="57"/>
    </row>
    <row r="3554" spans="1:28" s="58" customFormat="1" ht="30" hidden="1" customHeight="1" outlineLevel="1" x14ac:dyDescent="0.4">
      <c r="A3554" s="54"/>
      <c r="B3554" s="48" t="s">
        <v>1234</v>
      </c>
      <c r="C3554" s="49" t="s">
        <v>58</v>
      </c>
      <c r="D3554" s="55">
        <v>8</v>
      </c>
      <c r="E3554" s="51">
        <f>0.84*8/1000</f>
        <v>6.7199999999999994E-3</v>
      </c>
      <c r="F3554" s="57"/>
    </row>
    <row r="3555" spans="1:28" s="58" customFormat="1" ht="30" hidden="1" customHeight="1" outlineLevel="1" x14ac:dyDescent="0.4">
      <c r="A3555" s="54"/>
      <c r="B3555" s="48" t="s">
        <v>1235</v>
      </c>
      <c r="C3555" s="49" t="s">
        <v>58</v>
      </c>
      <c r="D3555" s="55">
        <v>8</v>
      </c>
      <c r="E3555" s="51">
        <f>0.84*8/1000</f>
        <v>6.7199999999999994E-3</v>
      </c>
      <c r="F3555" s="57"/>
    </row>
    <row r="3556" spans="1:28" s="58" customFormat="1" ht="30" hidden="1" customHeight="1" outlineLevel="1" x14ac:dyDescent="0.4">
      <c r="A3556" s="54"/>
      <c r="B3556" s="48" t="s">
        <v>1236</v>
      </c>
      <c r="C3556" s="49" t="s">
        <v>58</v>
      </c>
      <c r="D3556" s="55">
        <v>8</v>
      </c>
      <c r="E3556" s="51">
        <f>0.34*8/1000</f>
        <v>2.7200000000000002E-3</v>
      </c>
      <c r="F3556" s="57"/>
    </row>
    <row r="3557" spans="1:28" s="58" customFormat="1" ht="30" hidden="1" customHeight="1" outlineLevel="1" x14ac:dyDescent="0.4">
      <c r="A3557" s="54"/>
      <c r="B3557" s="48" t="s">
        <v>1237</v>
      </c>
      <c r="C3557" s="49" t="s">
        <v>58</v>
      </c>
      <c r="D3557" s="55">
        <v>8</v>
      </c>
      <c r="E3557" s="51">
        <f>0.34*8/1000</f>
        <v>2.7200000000000002E-3</v>
      </c>
      <c r="F3557" s="57"/>
    </row>
    <row r="3558" spans="1:28" s="58" customFormat="1" ht="30" hidden="1" customHeight="1" outlineLevel="1" x14ac:dyDescent="0.4">
      <c r="A3558" s="54"/>
      <c r="B3558" s="48" t="s">
        <v>1238</v>
      </c>
      <c r="C3558" s="49" t="s">
        <v>58</v>
      </c>
      <c r="D3558" s="55">
        <v>64</v>
      </c>
      <c r="E3558" s="51">
        <f>0.03*64/1000</f>
        <v>1.9199999999999998E-3</v>
      </c>
      <c r="F3558" s="57"/>
    </row>
    <row r="3559" spans="1:28" s="58" customFormat="1" ht="30" hidden="1" customHeight="1" outlineLevel="1" x14ac:dyDescent="0.4">
      <c r="A3559" s="54"/>
      <c r="B3559" s="48" t="s">
        <v>1239</v>
      </c>
      <c r="C3559" s="49" t="s">
        <v>58</v>
      </c>
      <c r="D3559" s="55">
        <v>64</v>
      </c>
      <c r="E3559" s="51">
        <f>0.03*64/1000</f>
        <v>1.9199999999999998E-3</v>
      </c>
      <c r="F3559" s="57"/>
    </row>
    <row r="3560" spans="1:28" s="58" customFormat="1" ht="30" hidden="1" customHeight="1" outlineLevel="1" x14ac:dyDescent="0.4">
      <c r="A3560" s="54"/>
      <c r="B3560" s="48" t="s">
        <v>1240</v>
      </c>
      <c r="C3560" s="49" t="s">
        <v>58</v>
      </c>
      <c r="D3560" s="55">
        <v>1755</v>
      </c>
      <c r="E3560" s="51">
        <f>0.0045*1755/1000</f>
        <v>7.8974999999999983E-3</v>
      </c>
      <c r="F3560" s="57"/>
    </row>
    <row r="3561" spans="1:28" s="58" customFormat="1" ht="30" hidden="1" customHeight="1" outlineLevel="1" x14ac:dyDescent="0.4">
      <c r="A3561" s="54"/>
      <c r="B3561" s="48" t="s">
        <v>1241</v>
      </c>
      <c r="C3561" s="49" t="s">
        <v>58</v>
      </c>
      <c r="D3561" s="55">
        <v>1755</v>
      </c>
      <c r="E3561" s="51">
        <f>0.004*1755/1000</f>
        <v>7.0200000000000002E-3</v>
      </c>
      <c r="F3561" s="57"/>
    </row>
    <row r="3562" spans="1:28" s="58" customFormat="1" ht="30" hidden="1" customHeight="1" outlineLevel="1" x14ac:dyDescent="0.4">
      <c r="A3562" s="54"/>
      <c r="B3562" s="48" t="s">
        <v>1242</v>
      </c>
      <c r="C3562" s="49" t="s">
        <v>58</v>
      </c>
      <c r="D3562" s="55">
        <v>351</v>
      </c>
      <c r="E3562" s="51">
        <f>0.0044*351/1000</f>
        <v>1.5444E-3</v>
      </c>
      <c r="F3562" s="57"/>
    </row>
    <row r="3563" spans="1:28" s="58" customFormat="1" ht="30" hidden="1" customHeight="1" outlineLevel="1" x14ac:dyDescent="0.4">
      <c r="A3563" s="54"/>
      <c r="B3563" s="48" t="s">
        <v>1243</v>
      </c>
      <c r="C3563" s="49" t="s">
        <v>58</v>
      </c>
      <c r="D3563" s="55">
        <v>1740</v>
      </c>
      <c r="E3563" s="51">
        <f>0.026*1740/1000</f>
        <v>4.5239999999999995E-2</v>
      </c>
      <c r="F3563" s="57"/>
    </row>
    <row r="3564" spans="1:28" s="58" customFormat="1" ht="30" hidden="1" customHeight="1" outlineLevel="1" x14ac:dyDescent="0.4">
      <c r="A3564" s="54"/>
      <c r="B3564" s="48" t="s">
        <v>1244</v>
      </c>
      <c r="C3564" s="49" t="s">
        <v>58</v>
      </c>
      <c r="D3564" s="55">
        <v>1740</v>
      </c>
      <c r="E3564" s="51">
        <f>0.008*1740/1000</f>
        <v>1.392E-2</v>
      </c>
      <c r="F3564" s="57"/>
    </row>
    <row r="3565" spans="1:28" s="39" customFormat="1" ht="21" customHeight="1" collapsed="1" x14ac:dyDescent="0.35">
      <c r="A3565" s="154" t="s">
        <v>1245</v>
      </c>
      <c r="B3565" s="154"/>
      <c r="C3565" s="154"/>
      <c r="D3565" s="154"/>
      <c r="E3565" s="154"/>
      <c r="F3565" s="34"/>
      <c r="G3565" s="35"/>
      <c r="H3565" s="36"/>
      <c r="I3565" s="37"/>
      <c r="J3565" s="37"/>
      <c r="K3565" s="38"/>
      <c r="L3565" s="38"/>
      <c r="M3565" s="38"/>
      <c r="N3565" s="36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</row>
    <row r="3566" spans="1:28" s="33" customFormat="1" ht="30" customHeight="1" x14ac:dyDescent="0.35">
      <c r="A3566" s="92"/>
      <c r="B3566" s="126" t="s">
        <v>1246</v>
      </c>
      <c r="C3566" s="40"/>
      <c r="D3566" s="108"/>
      <c r="E3566" s="127"/>
      <c r="F3566" s="29"/>
      <c r="G3566" s="30"/>
      <c r="H3566" s="31"/>
      <c r="I3566" s="30"/>
      <c r="J3566" s="30"/>
      <c r="K3566" s="32"/>
      <c r="L3566" s="32"/>
      <c r="M3566" s="32"/>
      <c r="N3566" s="31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</row>
    <row r="3567" spans="1:28" s="33" customFormat="1" ht="30" customHeight="1" x14ac:dyDescent="0.35">
      <c r="A3567" s="92">
        <f>A3551+1</f>
        <v>1469</v>
      </c>
      <c r="B3567" s="71" t="s">
        <v>1247</v>
      </c>
      <c r="C3567" s="40" t="s">
        <v>1248</v>
      </c>
      <c r="D3567" s="108">
        <v>57</v>
      </c>
      <c r="E3567" s="127"/>
      <c r="F3567" s="29"/>
      <c r="G3567" s="30"/>
      <c r="H3567" s="31"/>
      <c r="I3567" s="30"/>
      <c r="J3567" s="30"/>
      <c r="K3567" s="32"/>
      <c r="L3567" s="32"/>
      <c r="M3567" s="32"/>
      <c r="N3567" s="31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</row>
    <row r="3568" spans="1:28" s="33" customFormat="1" ht="30" customHeight="1" x14ac:dyDescent="0.35">
      <c r="A3568" s="92">
        <f>A3567+1</f>
        <v>1470</v>
      </c>
      <c r="B3568" s="71" t="s">
        <v>1249</v>
      </c>
      <c r="C3568" s="40" t="s">
        <v>1248</v>
      </c>
      <c r="D3568" s="108">
        <v>57</v>
      </c>
      <c r="E3568" s="127"/>
      <c r="F3568" s="29"/>
      <c r="G3568" s="30"/>
      <c r="H3568" s="31"/>
      <c r="I3568" s="30"/>
      <c r="J3568" s="30"/>
      <c r="K3568" s="32"/>
      <c r="L3568" s="32"/>
      <c r="M3568" s="32"/>
      <c r="N3568" s="31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</row>
    <row r="3569" spans="1:28" s="33" customFormat="1" ht="30" customHeight="1" x14ac:dyDescent="0.35">
      <c r="A3569" s="92">
        <f>A3568+1</f>
        <v>1471</v>
      </c>
      <c r="B3569" s="71" t="s">
        <v>1250</v>
      </c>
      <c r="C3569" s="40" t="s">
        <v>58</v>
      </c>
      <c r="D3569" s="108">
        <v>57</v>
      </c>
      <c r="E3569" s="127"/>
      <c r="F3569" s="29"/>
      <c r="G3569" s="30"/>
      <c r="H3569" s="31"/>
      <c r="I3569" s="30"/>
      <c r="J3569" s="30"/>
      <c r="K3569" s="32"/>
      <c r="L3569" s="32"/>
      <c r="M3569" s="32"/>
      <c r="N3569" s="31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</row>
    <row r="3570" spans="1:28" s="33" customFormat="1" ht="30" customHeight="1" x14ac:dyDescent="0.35">
      <c r="A3570" s="92"/>
      <c r="B3570" s="126" t="s">
        <v>307</v>
      </c>
      <c r="C3570" s="40"/>
      <c r="D3570" s="108"/>
      <c r="E3570" s="127"/>
      <c r="F3570" s="29"/>
      <c r="G3570" s="30"/>
      <c r="H3570" s="31"/>
      <c r="I3570" s="30"/>
      <c r="J3570" s="30"/>
      <c r="K3570" s="32"/>
      <c r="L3570" s="32"/>
      <c r="M3570" s="32"/>
      <c r="N3570" s="31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</row>
    <row r="3571" spans="1:28" s="33" customFormat="1" ht="30" customHeight="1" x14ac:dyDescent="0.35">
      <c r="A3571" s="92">
        <f>A3569+1</f>
        <v>1472</v>
      </c>
      <c r="B3571" s="71" t="s">
        <v>450</v>
      </c>
      <c r="C3571" s="40" t="s">
        <v>58</v>
      </c>
      <c r="D3571" s="108">
        <v>41</v>
      </c>
      <c r="E3571" s="127"/>
      <c r="F3571" s="29"/>
      <c r="G3571" s="30"/>
      <c r="H3571" s="31"/>
      <c r="I3571" s="30"/>
      <c r="J3571" s="30"/>
      <c r="K3571" s="32"/>
      <c r="L3571" s="32"/>
      <c r="M3571" s="32"/>
      <c r="N3571" s="31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</row>
    <row r="3572" spans="1:28" s="33" customFormat="1" ht="30" customHeight="1" x14ac:dyDescent="0.35">
      <c r="A3572" s="92">
        <f>A3571+1</f>
        <v>1473</v>
      </c>
      <c r="B3572" s="71" t="s">
        <v>451</v>
      </c>
      <c r="C3572" s="40" t="s">
        <v>452</v>
      </c>
      <c r="D3572" s="108">
        <v>41</v>
      </c>
      <c r="E3572" s="127"/>
      <c r="F3572" s="29"/>
      <c r="G3572" s="30"/>
      <c r="H3572" s="31"/>
      <c r="I3572" s="30"/>
      <c r="J3572" s="30"/>
      <c r="K3572" s="32"/>
      <c r="L3572" s="32"/>
      <c r="M3572" s="32"/>
      <c r="N3572" s="31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</row>
    <row r="3573" spans="1:28" s="33" customFormat="1" ht="30" customHeight="1" x14ac:dyDescent="0.35">
      <c r="A3573" s="92"/>
      <c r="B3573" s="126" t="s">
        <v>1251</v>
      </c>
      <c r="C3573" s="40"/>
      <c r="D3573" s="108"/>
      <c r="E3573" s="127"/>
      <c r="F3573" s="29"/>
      <c r="G3573" s="30"/>
      <c r="H3573" s="31"/>
      <c r="I3573" s="30"/>
      <c r="J3573" s="30"/>
      <c r="K3573" s="32"/>
      <c r="L3573" s="32"/>
      <c r="M3573" s="32"/>
      <c r="N3573" s="31"/>
      <c r="O3573" s="32"/>
      <c r="P3573" s="32"/>
      <c r="Q3573" s="32"/>
      <c r="R3573" s="32"/>
      <c r="S3573" s="32"/>
      <c r="T3573" s="32"/>
      <c r="U3573" s="32"/>
      <c r="V3573" s="32"/>
      <c r="W3573" s="32"/>
      <c r="X3573" s="32"/>
      <c r="Y3573" s="32"/>
      <c r="Z3573" s="32"/>
      <c r="AA3573" s="32"/>
      <c r="AB3573" s="32"/>
    </row>
    <row r="3574" spans="1:28" s="33" customFormat="1" ht="30" customHeight="1" x14ac:dyDescent="0.35">
      <c r="A3574" s="92">
        <f>A3572+1</f>
        <v>1474</v>
      </c>
      <c r="B3574" s="71" t="s">
        <v>1252</v>
      </c>
      <c r="C3574" s="40" t="s">
        <v>58</v>
      </c>
      <c r="D3574" s="108">
        <v>1</v>
      </c>
      <c r="E3574" s="127"/>
      <c r="F3574" s="29"/>
      <c r="G3574" s="30"/>
      <c r="H3574" s="31"/>
      <c r="I3574" s="30"/>
      <c r="J3574" s="30"/>
      <c r="K3574" s="32"/>
      <c r="L3574" s="32"/>
      <c r="M3574" s="32"/>
      <c r="N3574" s="31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</row>
    <row r="3575" spans="1:28" s="33" customFormat="1" ht="30" customHeight="1" x14ac:dyDescent="0.35">
      <c r="A3575" s="92">
        <f>A3574+1</f>
        <v>1475</v>
      </c>
      <c r="B3575" s="71" t="s">
        <v>1253</v>
      </c>
      <c r="C3575" s="40" t="s">
        <v>58</v>
      </c>
      <c r="D3575" s="108">
        <v>26</v>
      </c>
      <c r="E3575" s="127"/>
      <c r="F3575" s="29"/>
      <c r="G3575" s="30"/>
      <c r="H3575" s="31"/>
      <c r="I3575" s="30"/>
      <c r="J3575" s="30"/>
      <c r="K3575" s="32"/>
      <c r="L3575" s="32"/>
      <c r="M3575" s="32"/>
      <c r="N3575" s="31"/>
      <c r="O3575" s="32"/>
      <c r="P3575" s="32"/>
      <c r="Q3575" s="32"/>
      <c r="R3575" s="32"/>
      <c r="S3575" s="32"/>
      <c r="T3575" s="32"/>
      <c r="U3575" s="32"/>
      <c r="V3575" s="32"/>
      <c r="W3575" s="32"/>
      <c r="X3575" s="32"/>
      <c r="Y3575" s="32"/>
      <c r="Z3575" s="32"/>
      <c r="AA3575" s="32"/>
      <c r="AB3575" s="32"/>
    </row>
    <row r="3576" spans="1:28" s="33" customFormat="1" ht="30" customHeight="1" x14ac:dyDescent="0.35">
      <c r="A3576" s="92"/>
      <c r="B3576" s="126" t="s">
        <v>1254</v>
      </c>
      <c r="C3576" s="40"/>
      <c r="D3576" s="108"/>
      <c r="E3576" s="127"/>
      <c r="F3576" s="29"/>
      <c r="G3576" s="30"/>
      <c r="H3576" s="31"/>
      <c r="I3576" s="30"/>
      <c r="J3576" s="30"/>
      <c r="K3576" s="32"/>
      <c r="L3576" s="32"/>
      <c r="M3576" s="32"/>
      <c r="N3576" s="31"/>
      <c r="O3576" s="32"/>
      <c r="P3576" s="32"/>
      <c r="Q3576" s="32"/>
      <c r="R3576" s="32"/>
      <c r="S3576" s="32"/>
      <c r="T3576" s="32"/>
      <c r="U3576" s="32"/>
      <c r="V3576" s="32"/>
      <c r="W3576" s="32"/>
      <c r="X3576" s="32"/>
      <c r="Y3576" s="32"/>
      <c r="Z3576" s="32"/>
      <c r="AA3576" s="32"/>
      <c r="AB3576" s="32"/>
    </row>
    <row r="3577" spans="1:28" s="33" customFormat="1" ht="30" customHeight="1" x14ac:dyDescent="0.35">
      <c r="A3577" s="92">
        <f>A3575+1</f>
        <v>1476</v>
      </c>
      <c r="B3577" s="71" t="s">
        <v>1253</v>
      </c>
      <c r="C3577" s="40" t="s">
        <v>58</v>
      </c>
      <c r="D3577" s="108">
        <v>6</v>
      </c>
      <c r="E3577" s="127"/>
      <c r="F3577" s="29"/>
      <c r="G3577" s="30"/>
      <c r="H3577" s="31"/>
      <c r="I3577" s="30"/>
      <c r="J3577" s="30"/>
      <c r="K3577" s="32"/>
      <c r="L3577" s="32"/>
      <c r="M3577" s="32"/>
      <c r="N3577" s="31"/>
      <c r="O3577" s="32"/>
      <c r="P3577" s="32"/>
      <c r="Q3577" s="32"/>
      <c r="R3577" s="32"/>
      <c r="S3577" s="32"/>
      <c r="T3577" s="32"/>
      <c r="U3577" s="32"/>
      <c r="V3577" s="32"/>
      <c r="W3577" s="32"/>
      <c r="X3577" s="32"/>
      <c r="Y3577" s="32"/>
      <c r="Z3577" s="32"/>
      <c r="AA3577" s="32"/>
      <c r="AB3577" s="32"/>
    </row>
    <row r="3578" spans="1:28" s="39" customFormat="1" ht="30" customHeight="1" x14ac:dyDescent="0.35">
      <c r="A3578" s="153" t="s">
        <v>1255</v>
      </c>
      <c r="B3578" s="153"/>
      <c r="C3578" s="153"/>
      <c r="D3578" s="153"/>
      <c r="E3578" s="153"/>
      <c r="F3578" s="34"/>
      <c r="G3578" s="35"/>
      <c r="H3578" s="36"/>
      <c r="I3578" s="37"/>
      <c r="J3578" s="37"/>
      <c r="K3578" s="38"/>
      <c r="L3578" s="38"/>
      <c r="M3578" s="38"/>
      <c r="N3578" s="36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</row>
    <row r="3579" spans="1:28" s="39" customFormat="1" ht="21" customHeight="1" x14ac:dyDescent="0.35">
      <c r="A3579" s="158" t="s">
        <v>1256</v>
      </c>
      <c r="B3579" s="158"/>
      <c r="C3579" s="158"/>
      <c r="D3579" s="158"/>
      <c r="E3579" s="158"/>
      <c r="F3579" s="34"/>
      <c r="G3579" s="35"/>
      <c r="H3579" s="36"/>
      <c r="I3579" s="37"/>
      <c r="J3579" s="37"/>
      <c r="K3579" s="38"/>
      <c r="L3579" s="38"/>
      <c r="M3579" s="38"/>
      <c r="N3579" s="36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</row>
    <row r="3580" spans="1:28" s="33" customFormat="1" ht="30.9" x14ac:dyDescent="0.35">
      <c r="A3580" s="92">
        <f>A3577+1</f>
        <v>1477</v>
      </c>
      <c r="B3580" s="71" t="s">
        <v>545</v>
      </c>
      <c r="C3580" s="40" t="s">
        <v>132</v>
      </c>
      <c r="D3580" s="108">
        <v>3.5</v>
      </c>
      <c r="E3580" s="127"/>
      <c r="F3580" s="29"/>
      <c r="G3580" s="30"/>
      <c r="H3580" s="31"/>
      <c r="I3580" s="30"/>
      <c r="J3580" s="30"/>
      <c r="K3580" s="32"/>
      <c r="L3580" s="32"/>
      <c r="M3580" s="32"/>
      <c r="N3580" s="31"/>
      <c r="O3580" s="32"/>
      <c r="P3580" s="32"/>
      <c r="Q3580" s="32"/>
      <c r="R3580" s="32"/>
      <c r="S3580" s="32"/>
      <c r="T3580" s="32"/>
      <c r="U3580" s="32"/>
      <c r="V3580" s="32"/>
      <c r="W3580" s="32"/>
      <c r="X3580" s="32"/>
      <c r="Y3580" s="32"/>
      <c r="Z3580" s="32"/>
      <c r="AA3580" s="32"/>
      <c r="AB3580" s="32"/>
    </row>
    <row r="3581" spans="1:28" s="39" customFormat="1" ht="61.75" hidden="1" outlineLevel="1" x14ac:dyDescent="0.35">
      <c r="A3581" s="74"/>
      <c r="B3581" s="48" t="s">
        <v>1257</v>
      </c>
      <c r="C3581" s="49" t="s">
        <v>14</v>
      </c>
      <c r="D3581" s="65">
        <v>8.3000000000000004E-2</v>
      </c>
      <c r="E3581" s="76"/>
      <c r="F3581" s="34"/>
      <c r="G3581" s="35"/>
      <c r="H3581" s="36"/>
      <c r="I3581" s="37"/>
      <c r="J3581" s="37"/>
      <c r="K3581" s="38"/>
      <c r="L3581" s="38"/>
      <c r="M3581" s="38"/>
      <c r="N3581" s="36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</row>
    <row r="3582" spans="1:28" s="33" customFormat="1" ht="30.9" collapsed="1" x14ac:dyDescent="0.35">
      <c r="A3582" s="92">
        <f>A3580+1</f>
        <v>1478</v>
      </c>
      <c r="B3582" s="71" t="s">
        <v>533</v>
      </c>
      <c r="C3582" s="40" t="s">
        <v>132</v>
      </c>
      <c r="D3582" s="108">
        <v>5</v>
      </c>
      <c r="E3582" s="79" t="s">
        <v>151</v>
      </c>
      <c r="F3582" s="29"/>
      <c r="G3582" s="30"/>
      <c r="H3582" s="31"/>
      <c r="I3582" s="30"/>
      <c r="J3582" s="30"/>
      <c r="K3582" s="32"/>
      <c r="L3582" s="32"/>
      <c r="M3582" s="32"/>
      <c r="N3582" s="31"/>
      <c r="O3582" s="32"/>
      <c r="P3582" s="32"/>
      <c r="Q3582" s="32"/>
      <c r="R3582" s="32"/>
      <c r="S3582" s="32"/>
      <c r="T3582" s="32"/>
      <c r="U3582" s="32"/>
      <c r="V3582" s="32"/>
      <c r="W3582" s="32"/>
      <c r="X3582" s="32"/>
      <c r="Y3582" s="32"/>
      <c r="Z3582" s="32"/>
      <c r="AA3582" s="32"/>
      <c r="AB3582" s="32"/>
    </row>
    <row r="3583" spans="1:28" s="39" customFormat="1" ht="36" hidden="1" customHeight="1" outlineLevel="1" x14ac:dyDescent="0.35">
      <c r="A3583" s="74"/>
      <c r="B3583" s="48" t="s">
        <v>534</v>
      </c>
      <c r="C3583" s="49" t="s">
        <v>14</v>
      </c>
      <c r="D3583" s="65">
        <v>0.08</v>
      </c>
      <c r="E3583" s="76"/>
      <c r="F3583" s="34"/>
      <c r="G3583" s="35"/>
      <c r="H3583" s="36"/>
      <c r="I3583" s="37"/>
      <c r="J3583" s="37"/>
      <c r="K3583" s="38"/>
      <c r="L3583" s="38"/>
      <c r="M3583" s="38"/>
      <c r="N3583" s="36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</row>
    <row r="3584" spans="1:28" s="58" customFormat="1" ht="30" hidden="1" customHeight="1" outlineLevel="1" x14ac:dyDescent="0.4">
      <c r="A3584" s="54"/>
      <c r="B3584" s="48" t="s">
        <v>535</v>
      </c>
      <c r="C3584" s="49" t="s">
        <v>58</v>
      </c>
      <c r="D3584" s="55">
        <v>3</v>
      </c>
      <c r="E3584" s="51">
        <v>1.0999999999999999E-2</v>
      </c>
      <c r="F3584" s="57"/>
    </row>
    <row r="3585" spans="1:28" s="33" customFormat="1" ht="30.9" collapsed="1" x14ac:dyDescent="0.35">
      <c r="A3585" s="92">
        <f>A3582+1</f>
        <v>1479</v>
      </c>
      <c r="B3585" s="71" t="s">
        <v>528</v>
      </c>
      <c r="C3585" s="40" t="s">
        <v>132</v>
      </c>
      <c r="D3585" s="108">
        <v>7.8</v>
      </c>
      <c r="E3585" s="79" t="s">
        <v>151</v>
      </c>
      <c r="F3585" s="29"/>
      <c r="G3585" s="30"/>
      <c r="H3585" s="31"/>
      <c r="I3585" s="30"/>
      <c r="J3585" s="30"/>
      <c r="K3585" s="32"/>
      <c r="L3585" s="32"/>
      <c r="M3585" s="32"/>
      <c r="N3585" s="31"/>
      <c r="O3585" s="32"/>
      <c r="P3585" s="32"/>
      <c r="Q3585" s="32"/>
      <c r="R3585" s="32"/>
      <c r="S3585" s="32"/>
      <c r="T3585" s="32"/>
      <c r="U3585" s="32"/>
      <c r="V3585" s="32"/>
      <c r="W3585" s="32"/>
      <c r="X3585" s="32"/>
      <c r="Y3585" s="32"/>
      <c r="Z3585" s="32"/>
      <c r="AA3585" s="32"/>
      <c r="AB3585" s="32"/>
    </row>
    <row r="3586" spans="1:28" s="39" customFormat="1" ht="36" hidden="1" customHeight="1" outlineLevel="1" x14ac:dyDescent="0.35">
      <c r="A3586" s="74"/>
      <c r="B3586" s="48" t="s">
        <v>529</v>
      </c>
      <c r="C3586" s="49" t="s">
        <v>14</v>
      </c>
      <c r="D3586" s="65">
        <v>9.5000000000000001E-2</v>
      </c>
      <c r="E3586" s="76"/>
      <c r="F3586" s="34"/>
      <c r="G3586" s="35"/>
      <c r="H3586" s="36"/>
      <c r="I3586" s="37"/>
      <c r="J3586" s="37"/>
      <c r="K3586" s="38"/>
      <c r="L3586" s="38"/>
      <c r="M3586" s="38"/>
      <c r="N3586" s="36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</row>
    <row r="3587" spans="1:28" s="58" customFormat="1" ht="30" hidden="1" customHeight="1" outlineLevel="1" x14ac:dyDescent="0.4">
      <c r="A3587" s="54"/>
      <c r="B3587" s="48" t="s">
        <v>530</v>
      </c>
      <c r="C3587" s="49" t="s">
        <v>58</v>
      </c>
      <c r="D3587" s="55">
        <v>1</v>
      </c>
      <c r="E3587" s="51">
        <v>3.0000000000000001E-3</v>
      </c>
      <c r="F3587" s="57"/>
    </row>
    <row r="3588" spans="1:28" s="39" customFormat="1" ht="36" hidden="1" customHeight="1" outlineLevel="1" x14ac:dyDescent="0.35">
      <c r="A3588" s="74"/>
      <c r="B3588" s="48" t="s">
        <v>774</v>
      </c>
      <c r="C3588" s="49" t="s">
        <v>58</v>
      </c>
      <c r="D3588" s="49">
        <v>1</v>
      </c>
      <c r="E3588" s="78">
        <v>4.0000000000000001E-3</v>
      </c>
      <c r="F3588" s="34"/>
      <c r="G3588" s="35"/>
      <c r="H3588" s="36"/>
      <c r="I3588" s="37"/>
      <c r="J3588" s="37"/>
      <c r="K3588" s="38"/>
      <c r="L3588" s="38"/>
      <c r="M3588" s="38"/>
      <c r="N3588" s="36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</row>
    <row r="3589" spans="1:28" ht="31" customHeight="1" collapsed="1" x14ac:dyDescent="0.35">
      <c r="A3589" s="92">
        <f>A3585+1</f>
        <v>1480</v>
      </c>
      <c r="B3589" s="25" t="s">
        <v>1258</v>
      </c>
      <c r="C3589" s="89" t="s">
        <v>58</v>
      </c>
      <c r="D3589" s="26">
        <v>1</v>
      </c>
      <c r="E3589" s="41"/>
      <c r="F3589" s="42"/>
    </row>
    <row r="3590" spans="1:28" s="39" customFormat="1" ht="30" hidden="1" customHeight="1" outlineLevel="1" x14ac:dyDescent="0.35">
      <c r="A3590" s="74"/>
      <c r="B3590" s="48" t="s">
        <v>1259</v>
      </c>
      <c r="C3590" s="49" t="s">
        <v>58</v>
      </c>
      <c r="D3590" s="55">
        <v>1</v>
      </c>
      <c r="E3590" s="76"/>
      <c r="F3590" s="34"/>
      <c r="G3590" s="35"/>
      <c r="H3590" s="36"/>
      <c r="I3590" s="37"/>
      <c r="J3590" s="37"/>
      <c r="K3590" s="38"/>
      <c r="L3590" s="38"/>
      <c r="M3590" s="38"/>
      <c r="N3590" s="36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</row>
    <row r="3591" spans="1:28" s="33" customFormat="1" ht="31" customHeight="1" collapsed="1" x14ac:dyDescent="0.35">
      <c r="A3591" s="92">
        <f>A3589+1</f>
        <v>1481</v>
      </c>
      <c r="B3591" s="59" t="s">
        <v>148</v>
      </c>
      <c r="C3591" s="26" t="s">
        <v>58</v>
      </c>
      <c r="D3591" s="73">
        <v>1</v>
      </c>
      <c r="E3591" s="28"/>
      <c r="F3591" s="29"/>
      <c r="G3591" s="30"/>
      <c r="H3591" s="31"/>
      <c r="I3591" s="30"/>
      <c r="J3591" s="30"/>
      <c r="K3591" s="32"/>
      <c r="L3591" s="32"/>
      <c r="M3591" s="32"/>
      <c r="N3591" s="31"/>
      <c r="O3591" s="32"/>
      <c r="P3591" s="32"/>
      <c r="Q3591" s="32"/>
      <c r="R3591" s="32"/>
      <c r="S3591" s="32"/>
      <c r="T3591" s="32"/>
      <c r="U3591" s="32"/>
      <c r="V3591" s="32"/>
      <c r="W3591" s="32"/>
      <c r="X3591" s="32"/>
      <c r="Y3591" s="32"/>
      <c r="Z3591" s="32"/>
      <c r="AA3591" s="32"/>
      <c r="AB3591" s="32"/>
    </row>
    <row r="3592" spans="1:28" s="39" customFormat="1" ht="32.15" hidden="1" customHeight="1" outlineLevel="1" x14ac:dyDescent="0.35">
      <c r="A3592" s="74"/>
      <c r="B3592" s="48" t="s">
        <v>149</v>
      </c>
      <c r="C3592" s="49" t="s">
        <v>251</v>
      </c>
      <c r="D3592" s="55">
        <v>1</v>
      </c>
      <c r="E3592" s="76"/>
      <c r="F3592" s="34"/>
      <c r="G3592" s="35"/>
      <c r="H3592" s="36"/>
      <c r="I3592" s="37"/>
      <c r="J3592" s="37"/>
      <c r="K3592" s="38"/>
      <c r="L3592" s="38"/>
      <c r="M3592" s="38"/>
      <c r="N3592" s="36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</row>
    <row r="3593" spans="1:28" s="58" customFormat="1" ht="30" customHeight="1" collapsed="1" x14ac:dyDescent="0.4">
      <c r="A3593" s="92">
        <f>A3591+1</f>
        <v>1482</v>
      </c>
      <c r="B3593" s="59" t="s">
        <v>158</v>
      </c>
      <c r="C3593" s="70" t="s">
        <v>67</v>
      </c>
      <c r="D3593" s="40" t="s">
        <v>1260</v>
      </c>
      <c r="E3593" s="66"/>
      <c r="F3593" s="57"/>
    </row>
    <row r="3594" spans="1:28" s="58" customFormat="1" ht="30" hidden="1" customHeight="1" outlineLevel="1" x14ac:dyDescent="0.4">
      <c r="A3594" s="54"/>
      <c r="B3594" s="48" t="s">
        <v>426</v>
      </c>
      <c r="C3594" s="49" t="s">
        <v>58</v>
      </c>
      <c r="D3594" s="55">
        <v>1</v>
      </c>
      <c r="E3594" s="51">
        <v>2E-3</v>
      </c>
      <c r="F3594" s="57"/>
    </row>
    <row r="3595" spans="1:28" s="58" customFormat="1" ht="30" hidden="1" customHeight="1" outlineLevel="1" x14ac:dyDescent="0.4">
      <c r="A3595" s="54"/>
      <c r="B3595" s="48" t="s">
        <v>552</v>
      </c>
      <c r="C3595" s="49" t="s">
        <v>58</v>
      </c>
      <c r="D3595" s="55">
        <v>2</v>
      </c>
      <c r="E3595" s="51">
        <v>2E-3</v>
      </c>
      <c r="F3595" s="57"/>
    </row>
    <row r="3596" spans="1:28" s="58" customFormat="1" ht="30" hidden="1" customHeight="1" outlineLevel="1" x14ac:dyDescent="0.4">
      <c r="A3596" s="54"/>
      <c r="B3596" s="48" t="s">
        <v>160</v>
      </c>
      <c r="C3596" s="49" t="s">
        <v>58</v>
      </c>
      <c r="D3596" s="55">
        <v>1</v>
      </c>
      <c r="E3596" s="51">
        <v>2E-3</v>
      </c>
      <c r="F3596" s="57"/>
    </row>
    <row r="3597" spans="1:28" s="33" customFormat="1" ht="31" customHeight="1" collapsed="1" x14ac:dyDescent="0.35">
      <c r="A3597" s="92">
        <f>A3593+1</f>
        <v>1483</v>
      </c>
      <c r="B3597" s="59" t="s">
        <v>504</v>
      </c>
      <c r="C3597" s="26" t="s">
        <v>58</v>
      </c>
      <c r="D3597" s="73">
        <v>1</v>
      </c>
      <c r="E3597" s="28"/>
      <c r="F3597" s="29"/>
      <c r="G3597" s="30"/>
      <c r="H3597" s="31"/>
      <c r="I3597" s="30"/>
      <c r="J3597" s="30"/>
      <c r="K3597" s="32"/>
      <c r="L3597" s="32"/>
      <c r="M3597" s="32"/>
      <c r="N3597" s="31"/>
      <c r="O3597" s="32"/>
      <c r="P3597" s="32"/>
      <c r="Q3597" s="32"/>
      <c r="R3597" s="32"/>
      <c r="S3597" s="32"/>
      <c r="T3597" s="32"/>
      <c r="U3597" s="32"/>
      <c r="V3597" s="32"/>
      <c r="W3597" s="32"/>
      <c r="X3597" s="32"/>
      <c r="Y3597" s="32"/>
      <c r="Z3597" s="32"/>
      <c r="AA3597" s="32"/>
      <c r="AB3597" s="32"/>
    </row>
    <row r="3598" spans="1:28" s="39" customFormat="1" ht="46.3" hidden="1" outlineLevel="1" x14ac:dyDescent="0.35">
      <c r="A3598" s="74"/>
      <c r="B3598" s="48" t="s">
        <v>1261</v>
      </c>
      <c r="C3598" s="49" t="s">
        <v>251</v>
      </c>
      <c r="D3598" s="55">
        <v>1</v>
      </c>
      <c r="E3598" s="78">
        <v>0.05</v>
      </c>
      <c r="F3598" s="34"/>
      <c r="G3598" s="35"/>
      <c r="H3598" s="36"/>
      <c r="I3598" s="37"/>
      <c r="J3598" s="37"/>
      <c r="K3598" s="38"/>
      <c r="L3598" s="38"/>
      <c r="M3598" s="38"/>
      <c r="N3598" s="36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</row>
    <row r="3599" spans="1:28" s="58" customFormat="1" ht="30" customHeight="1" collapsed="1" x14ac:dyDescent="0.4">
      <c r="A3599" s="92">
        <f>A3597+1</f>
        <v>1484</v>
      </c>
      <c r="B3599" s="59" t="s">
        <v>158</v>
      </c>
      <c r="C3599" s="70" t="s">
        <v>67</v>
      </c>
      <c r="D3599" s="40" t="s">
        <v>777</v>
      </c>
      <c r="E3599" s="66"/>
      <c r="F3599" s="57"/>
    </row>
    <row r="3600" spans="1:28" s="58" customFormat="1" ht="30" hidden="1" customHeight="1" outlineLevel="1" x14ac:dyDescent="0.4">
      <c r="A3600" s="54"/>
      <c r="B3600" s="48" t="s">
        <v>426</v>
      </c>
      <c r="C3600" s="49" t="s">
        <v>58</v>
      </c>
      <c r="D3600" s="55">
        <v>4</v>
      </c>
      <c r="E3600" s="51">
        <v>8.9999999999999993E-3</v>
      </c>
      <c r="F3600" s="57"/>
    </row>
    <row r="3601" spans="1:10" s="58" customFormat="1" ht="30" hidden="1" customHeight="1" outlineLevel="1" x14ac:dyDescent="0.4">
      <c r="A3601" s="54"/>
      <c r="B3601" s="48" t="s">
        <v>552</v>
      </c>
      <c r="C3601" s="49" t="s">
        <v>58</v>
      </c>
      <c r="D3601" s="55">
        <v>2</v>
      </c>
      <c r="E3601" s="51">
        <v>2E-3</v>
      </c>
      <c r="F3601" s="57"/>
    </row>
    <row r="3602" spans="1:10" s="58" customFormat="1" ht="30" hidden="1" customHeight="1" outlineLevel="1" x14ac:dyDescent="0.4">
      <c r="A3602" s="54"/>
      <c r="B3602" s="48" t="s">
        <v>160</v>
      </c>
      <c r="C3602" s="49" t="s">
        <v>58</v>
      </c>
      <c r="D3602" s="55">
        <v>1</v>
      </c>
      <c r="E3602" s="51">
        <v>2E-3</v>
      </c>
      <c r="F3602" s="57"/>
    </row>
    <row r="3603" spans="1:10" ht="36" customHeight="1" collapsed="1" x14ac:dyDescent="0.35">
      <c r="A3603" s="92">
        <f>A3599+1</f>
        <v>1485</v>
      </c>
      <c r="B3603" s="59" t="s">
        <v>72</v>
      </c>
      <c r="C3603" s="26" t="s">
        <v>29</v>
      </c>
      <c r="D3603" s="104">
        <f>2.54+1.58</f>
        <v>4.12</v>
      </c>
      <c r="E3603" s="41"/>
      <c r="F3603" s="42"/>
    </row>
    <row r="3604" spans="1:10" s="58" customFormat="1" ht="30" hidden="1" customHeight="1" outlineLevel="1" x14ac:dyDescent="0.4">
      <c r="A3604" s="54"/>
      <c r="B3604" s="48" t="s">
        <v>73</v>
      </c>
      <c r="C3604" s="49" t="s">
        <v>74</v>
      </c>
      <c r="D3604" s="68">
        <f>3.31*D3603</f>
        <v>13.6372</v>
      </c>
      <c r="E3604" s="69">
        <v>1.4E-2</v>
      </c>
      <c r="F3604" s="57"/>
    </row>
    <row r="3605" spans="1:10" ht="36" customHeight="1" collapsed="1" x14ac:dyDescent="0.35">
      <c r="A3605" s="24">
        <f>A3603+1</f>
        <v>1486</v>
      </c>
      <c r="B3605" s="59" t="s">
        <v>75</v>
      </c>
      <c r="C3605" s="26" t="s">
        <v>29</v>
      </c>
      <c r="D3605" s="104">
        <f>2.54+1.58</f>
        <v>4.12</v>
      </c>
      <c r="E3605" s="41"/>
      <c r="F3605" s="42"/>
    </row>
    <row r="3606" spans="1:10" ht="36" customHeight="1" x14ac:dyDescent="0.35">
      <c r="A3606" s="24">
        <f>A3605+1</f>
        <v>1487</v>
      </c>
      <c r="B3606" s="59" t="s">
        <v>76</v>
      </c>
      <c r="C3606" s="26" t="s">
        <v>29</v>
      </c>
      <c r="D3606" s="104">
        <f>2.54+1.58</f>
        <v>4.12</v>
      </c>
      <c r="E3606" s="41"/>
      <c r="F3606" s="42"/>
    </row>
    <row r="3607" spans="1:10" s="58" customFormat="1" ht="30" customHeight="1" x14ac:dyDescent="0.4">
      <c r="A3607" s="24">
        <f>A3606+1</f>
        <v>1488</v>
      </c>
      <c r="B3607" s="59" t="s">
        <v>77</v>
      </c>
      <c r="C3607" s="70" t="s">
        <v>29</v>
      </c>
      <c r="D3607" s="104">
        <f>2.54+1.58</f>
        <v>4.12</v>
      </c>
      <c r="E3607" s="66"/>
      <c r="F3607" s="57"/>
    </row>
    <row r="3608" spans="1:10" s="58" customFormat="1" ht="30" hidden="1" customHeight="1" outlineLevel="1" x14ac:dyDescent="0.4">
      <c r="A3608" s="54"/>
      <c r="B3608" s="48" t="s">
        <v>78</v>
      </c>
      <c r="C3608" s="49" t="s">
        <v>74</v>
      </c>
      <c r="D3608" s="68">
        <f>D3607*0.255</f>
        <v>1.0506</v>
      </c>
      <c r="E3608" s="69">
        <v>1E-3</v>
      </c>
      <c r="F3608" s="57"/>
    </row>
    <row r="3609" spans="1:10" s="58" customFormat="1" ht="30" customHeight="1" collapsed="1" x14ac:dyDescent="0.4">
      <c r="A3609" s="24">
        <f>A3607+1</f>
        <v>1489</v>
      </c>
      <c r="B3609" s="59" t="s">
        <v>79</v>
      </c>
      <c r="C3609" s="70" t="s">
        <v>29</v>
      </c>
      <c r="D3609" s="104">
        <f>2.54+1.58</f>
        <v>4.12</v>
      </c>
      <c r="E3609" s="66"/>
      <c r="F3609" s="57"/>
    </row>
    <row r="3610" spans="1:10" s="58" customFormat="1" ht="30" hidden="1" customHeight="1" outlineLevel="1" x14ac:dyDescent="0.4">
      <c r="A3610" s="54"/>
      <c r="B3610" s="48" t="s">
        <v>80</v>
      </c>
      <c r="C3610" s="49" t="s">
        <v>74</v>
      </c>
      <c r="D3610" s="68">
        <f>D3609*0.36*2</f>
        <v>2.9664000000000001</v>
      </c>
      <c r="E3610" s="69">
        <v>3.0000000000000001E-3</v>
      </c>
      <c r="F3610" s="57"/>
    </row>
    <row r="3611" spans="1:10" s="58" customFormat="1" ht="30" customHeight="1" collapsed="1" x14ac:dyDescent="0.4">
      <c r="A3611" s="24">
        <f>A3609+1</f>
        <v>1490</v>
      </c>
      <c r="B3611" s="59" t="s">
        <v>368</v>
      </c>
      <c r="C3611" s="70" t="s">
        <v>58</v>
      </c>
      <c r="D3611" s="40">
        <v>1</v>
      </c>
      <c r="E3611" s="66"/>
      <c r="F3611" s="57"/>
    </row>
    <row r="3612" spans="1:10" s="58" customFormat="1" ht="30" hidden="1" customHeight="1" outlineLevel="1" x14ac:dyDescent="0.4">
      <c r="A3612" s="54"/>
      <c r="B3612" s="48" t="s">
        <v>556</v>
      </c>
      <c r="C3612" s="49" t="s">
        <v>58</v>
      </c>
      <c r="D3612" s="75">
        <v>1</v>
      </c>
      <c r="E3612" s="51"/>
      <c r="F3612" s="57"/>
    </row>
    <row r="3613" spans="1:10" s="58" customFormat="1" ht="46.3" collapsed="1" x14ac:dyDescent="0.4">
      <c r="A3613" s="24">
        <f>A3611+1</f>
        <v>1491</v>
      </c>
      <c r="B3613" s="59" t="s">
        <v>364</v>
      </c>
      <c r="C3613" s="70" t="s">
        <v>19</v>
      </c>
      <c r="D3613" s="67">
        <v>0.22</v>
      </c>
      <c r="E3613" s="66"/>
      <c r="F3613" s="57"/>
    </row>
    <row r="3614" spans="1:10" s="58" customFormat="1" ht="30.9" hidden="1" outlineLevel="1" x14ac:dyDescent="0.4">
      <c r="A3614" s="54"/>
      <c r="B3614" s="48" t="s">
        <v>365</v>
      </c>
      <c r="C3614" s="49" t="s">
        <v>19</v>
      </c>
      <c r="D3614" s="68">
        <v>0.22</v>
      </c>
      <c r="E3614" s="69">
        <v>1E-3</v>
      </c>
      <c r="F3614" s="57"/>
      <c r="J3614" s="58">
        <v>1.08</v>
      </c>
    </row>
    <row r="3615" spans="1:10" s="58" customFormat="1" ht="30" customHeight="1" collapsed="1" x14ac:dyDescent="0.4">
      <c r="A3615" s="24">
        <f>A3613+1</f>
        <v>1492</v>
      </c>
      <c r="B3615" s="59" t="s">
        <v>366</v>
      </c>
      <c r="C3615" s="70" t="s">
        <v>29</v>
      </c>
      <c r="D3615" s="67">
        <v>3.44</v>
      </c>
      <c r="E3615" s="66"/>
      <c r="F3615" s="57"/>
    </row>
    <row r="3616" spans="1:10" s="58" customFormat="1" ht="30" hidden="1" customHeight="1" outlineLevel="1" x14ac:dyDescent="0.4">
      <c r="A3616" s="54"/>
      <c r="B3616" s="48" t="s">
        <v>367</v>
      </c>
      <c r="C3616" s="49" t="s">
        <v>29</v>
      </c>
      <c r="D3616" s="68">
        <v>3.44</v>
      </c>
      <c r="E3616" s="69"/>
      <c r="F3616" s="57"/>
      <c r="J3616" s="58">
        <v>1.22</v>
      </c>
    </row>
    <row r="3617" spans="1:28" s="39" customFormat="1" ht="21" customHeight="1" collapsed="1" x14ac:dyDescent="0.35">
      <c r="A3617" s="158" t="s">
        <v>1262</v>
      </c>
      <c r="B3617" s="158"/>
      <c r="C3617" s="158"/>
      <c r="D3617" s="158"/>
      <c r="E3617" s="158"/>
      <c r="F3617" s="34"/>
      <c r="G3617" s="35"/>
      <c r="H3617" s="36"/>
      <c r="I3617" s="37"/>
      <c r="J3617" s="37"/>
      <c r="K3617" s="38"/>
      <c r="L3617" s="38"/>
      <c r="M3617" s="38"/>
      <c r="N3617" s="36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</row>
    <row r="3618" spans="1:28" s="39" customFormat="1" ht="21" customHeight="1" x14ac:dyDescent="0.35">
      <c r="A3618" s="160" t="s">
        <v>1263</v>
      </c>
      <c r="B3618" s="161"/>
      <c r="C3618" s="161"/>
      <c r="D3618" s="161"/>
      <c r="E3618" s="162"/>
      <c r="F3618" s="34"/>
      <c r="G3618" s="35"/>
      <c r="H3618" s="36"/>
      <c r="I3618" s="37"/>
      <c r="J3618" s="37"/>
      <c r="K3618" s="38"/>
      <c r="L3618" s="38"/>
      <c r="M3618" s="38"/>
      <c r="N3618" s="36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</row>
    <row r="3619" spans="1:28" ht="31" customHeight="1" x14ac:dyDescent="0.35">
      <c r="A3619" s="92">
        <f>A3615+1</f>
        <v>1493</v>
      </c>
      <c r="B3619" s="25" t="s">
        <v>1264</v>
      </c>
      <c r="C3619" s="70" t="s">
        <v>67</v>
      </c>
      <c r="D3619" s="26" t="s">
        <v>1265</v>
      </c>
      <c r="E3619" s="41"/>
      <c r="F3619" s="42"/>
    </row>
    <row r="3620" spans="1:28" s="58" customFormat="1" ht="30" hidden="1" customHeight="1" outlineLevel="1" x14ac:dyDescent="0.4">
      <c r="A3620" s="54"/>
      <c r="B3620" s="48" t="s">
        <v>1266</v>
      </c>
      <c r="C3620" s="49" t="s">
        <v>14</v>
      </c>
      <c r="D3620" s="65">
        <v>1.613</v>
      </c>
      <c r="E3620" s="69"/>
      <c r="F3620" s="57"/>
    </row>
    <row r="3621" spans="1:28" s="58" customFormat="1" ht="30" hidden="1" customHeight="1" outlineLevel="1" x14ac:dyDescent="0.4">
      <c r="A3621" s="54"/>
      <c r="B3621" s="48" t="s">
        <v>70</v>
      </c>
      <c r="C3621" s="49" t="s">
        <v>14</v>
      </c>
      <c r="D3621" s="65">
        <v>0.751</v>
      </c>
      <c r="E3621" s="69"/>
      <c r="F3621" s="57"/>
    </row>
    <row r="3622" spans="1:28" s="58" customFormat="1" ht="30" hidden="1" customHeight="1" outlineLevel="1" x14ac:dyDescent="0.4">
      <c r="A3622" s="54"/>
      <c r="B3622" s="48" t="s">
        <v>964</v>
      </c>
      <c r="C3622" s="49" t="s">
        <v>14</v>
      </c>
      <c r="D3622" s="65">
        <v>6.4000000000000001E-2</v>
      </c>
      <c r="E3622" s="69"/>
      <c r="F3622" s="57"/>
    </row>
    <row r="3623" spans="1:28" s="58" customFormat="1" ht="30" hidden="1" customHeight="1" outlineLevel="1" x14ac:dyDescent="0.4">
      <c r="A3623" s="54"/>
      <c r="B3623" s="48" t="s">
        <v>137</v>
      </c>
      <c r="C3623" s="49" t="s">
        <v>14</v>
      </c>
      <c r="D3623" s="65">
        <v>2.9000000000000001E-2</v>
      </c>
      <c r="E3623" s="69"/>
      <c r="F3623" s="57"/>
    </row>
    <row r="3624" spans="1:28" ht="31" customHeight="1" collapsed="1" x14ac:dyDescent="0.35">
      <c r="A3624" s="92">
        <f>A3619+1</f>
        <v>1494</v>
      </c>
      <c r="B3624" s="25" t="s">
        <v>1013</v>
      </c>
      <c r="C3624" s="70" t="s">
        <v>19</v>
      </c>
      <c r="D3624" s="26">
        <v>1</v>
      </c>
      <c r="E3624" s="41"/>
      <c r="F3624" s="42"/>
    </row>
    <row r="3625" spans="1:28" s="58" customFormat="1" ht="30" hidden="1" customHeight="1" outlineLevel="1" x14ac:dyDescent="0.4">
      <c r="A3625" s="54"/>
      <c r="B3625" s="48" t="s">
        <v>1225</v>
      </c>
      <c r="C3625" s="49" t="s">
        <v>19</v>
      </c>
      <c r="D3625" s="49">
        <f>1*1.1</f>
        <v>1.1000000000000001</v>
      </c>
      <c r="E3625" s="128"/>
      <c r="F3625" s="57"/>
    </row>
    <row r="3626" spans="1:28" ht="36" customHeight="1" collapsed="1" x14ac:dyDescent="0.35">
      <c r="A3626" s="24">
        <f>A3624+1</f>
        <v>1495</v>
      </c>
      <c r="B3626" s="59" t="s">
        <v>72</v>
      </c>
      <c r="C3626" s="26" t="s">
        <v>29</v>
      </c>
      <c r="D3626" s="80">
        <f>((0.72*3.14*9.12*2)+(0.8*0.8*2)+(0.75*0.75*2)+(0.1*0.482*16*2)+(0.273*3.14*9))</f>
        <v>52.899372</v>
      </c>
      <c r="E3626" s="41"/>
      <c r="F3626" s="42"/>
    </row>
    <row r="3627" spans="1:28" s="58" customFormat="1" ht="30" hidden="1" customHeight="1" outlineLevel="1" x14ac:dyDescent="0.4">
      <c r="A3627" s="54"/>
      <c r="B3627" s="48" t="s">
        <v>73</v>
      </c>
      <c r="C3627" s="49" t="s">
        <v>74</v>
      </c>
      <c r="D3627" s="68">
        <f>3.31*D3626</f>
        <v>175.09692132000001</v>
      </c>
      <c r="E3627" s="69">
        <v>0.17499999999999999</v>
      </c>
      <c r="F3627" s="57"/>
    </row>
    <row r="3628" spans="1:28" ht="36" customHeight="1" collapsed="1" x14ac:dyDescent="0.35">
      <c r="A3628" s="24">
        <f>A3626+1</f>
        <v>1496</v>
      </c>
      <c r="B3628" s="59" t="s">
        <v>75</v>
      </c>
      <c r="C3628" s="26" t="s">
        <v>29</v>
      </c>
      <c r="D3628" s="80">
        <f>((0.72*3.14*9.12*2)+(0.8*0.8*2)+(0.75*0.75*2)+(0.1*0.482*16*2)+(0.273*3.14*9))</f>
        <v>52.899372</v>
      </c>
      <c r="E3628" s="41"/>
      <c r="F3628" s="42"/>
    </row>
    <row r="3629" spans="1:28" ht="36" customHeight="1" x14ac:dyDescent="0.35">
      <c r="A3629" s="24">
        <f>A3628+1</f>
        <v>1497</v>
      </c>
      <c r="B3629" s="59" t="s">
        <v>76</v>
      </c>
      <c r="C3629" s="26" t="s">
        <v>29</v>
      </c>
      <c r="D3629" s="80">
        <f>((0.72*3.14*9.12*2)+(0.8*0.8*2)+(0.75*0.75*2)+(0.1*0.482*16*2)+(0.273*3.14*9))</f>
        <v>52.899372</v>
      </c>
      <c r="E3629" s="41"/>
      <c r="F3629" s="42"/>
    </row>
    <row r="3630" spans="1:28" s="58" customFormat="1" ht="30" customHeight="1" x14ac:dyDescent="0.4">
      <c r="A3630" s="24">
        <f>A3629+1</f>
        <v>1498</v>
      </c>
      <c r="B3630" s="59" t="s">
        <v>77</v>
      </c>
      <c r="C3630" s="70" t="s">
        <v>29</v>
      </c>
      <c r="D3630" s="80">
        <f>((0.72*3.14*9.12*2)+(0.8*0.8*2)+(0.75*0.75*2)+(0.1*0.482*16*2)+(0.273*3.14*9))</f>
        <v>52.899372</v>
      </c>
      <c r="E3630" s="66"/>
      <c r="F3630" s="57"/>
    </row>
    <row r="3631" spans="1:28" s="58" customFormat="1" ht="30" hidden="1" customHeight="1" outlineLevel="1" x14ac:dyDescent="0.4">
      <c r="A3631" s="54"/>
      <c r="B3631" s="48" t="s">
        <v>78</v>
      </c>
      <c r="C3631" s="49" t="s">
        <v>74</v>
      </c>
      <c r="D3631" s="68">
        <f>D3630*0.255</f>
        <v>13.489339859999999</v>
      </c>
      <c r="E3631" s="69">
        <v>1.4E-2</v>
      </c>
      <c r="F3631" s="57"/>
    </row>
    <row r="3632" spans="1:28" s="58" customFormat="1" ht="30" customHeight="1" collapsed="1" x14ac:dyDescent="0.4">
      <c r="A3632" s="24">
        <f>A3630+1</f>
        <v>1499</v>
      </c>
      <c r="B3632" s="59" t="s">
        <v>79</v>
      </c>
      <c r="C3632" s="70" t="s">
        <v>29</v>
      </c>
      <c r="D3632" s="80">
        <f>((0.72*3.14*9.12*2)+(0.8*0.8*2)+(0.75*0.75*2)+(0.1*0.482*16*2)+(0.273*3.14*9))</f>
        <v>52.899372</v>
      </c>
      <c r="E3632" s="66"/>
      <c r="F3632" s="57"/>
    </row>
    <row r="3633" spans="1:28" s="58" customFormat="1" ht="30" hidden="1" customHeight="1" outlineLevel="1" x14ac:dyDescent="0.4">
      <c r="A3633" s="54"/>
      <c r="B3633" s="48" t="s">
        <v>80</v>
      </c>
      <c r="C3633" s="49" t="s">
        <v>74</v>
      </c>
      <c r="D3633" s="68">
        <f>D3632*0.36*2</f>
        <v>38.087547839999999</v>
      </c>
      <c r="E3633" s="69">
        <v>3.7999999999999999E-2</v>
      </c>
      <c r="F3633" s="57"/>
    </row>
    <row r="3634" spans="1:28" s="39" customFormat="1" ht="21" customHeight="1" collapsed="1" x14ac:dyDescent="0.35">
      <c r="A3634" s="158" t="s">
        <v>1267</v>
      </c>
      <c r="B3634" s="158"/>
      <c r="C3634" s="158"/>
      <c r="D3634" s="158"/>
      <c r="E3634" s="158"/>
      <c r="F3634" s="34"/>
      <c r="G3634" s="35"/>
      <c r="H3634" s="36"/>
      <c r="I3634" s="37"/>
      <c r="J3634" s="37"/>
      <c r="K3634" s="38"/>
      <c r="L3634" s="38"/>
      <c r="M3634" s="38"/>
      <c r="N3634" s="36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</row>
    <row r="3635" spans="1:28" s="39" customFormat="1" ht="21" customHeight="1" x14ac:dyDescent="0.35">
      <c r="A3635" s="160" t="s">
        <v>1268</v>
      </c>
      <c r="B3635" s="161"/>
      <c r="C3635" s="161"/>
      <c r="D3635" s="161"/>
      <c r="E3635" s="162"/>
      <c r="F3635" s="34"/>
      <c r="G3635" s="35"/>
      <c r="H3635" s="36"/>
      <c r="I3635" s="37"/>
      <c r="J3635" s="37"/>
      <c r="K3635" s="38"/>
      <c r="L3635" s="38"/>
      <c r="M3635" s="38"/>
      <c r="N3635" s="36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</row>
    <row r="3636" spans="1:28" ht="30" customHeight="1" x14ac:dyDescent="0.35">
      <c r="A3636" s="92">
        <f>A3632+1</f>
        <v>1500</v>
      </c>
      <c r="B3636" s="59" t="s">
        <v>600</v>
      </c>
      <c r="C3636" s="60" t="s">
        <v>19</v>
      </c>
      <c r="D3636" s="67">
        <f>2*2*2.5*8</f>
        <v>80</v>
      </c>
      <c r="E3636" s="66"/>
      <c r="F3636" s="42"/>
    </row>
    <row r="3637" spans="1:28" s="58" customFormat="1" ht="30" customHeight="1" x14ac:dyDescent="0.4">
      <c r="A3637" s="24">
        <f>A3636+1</f>
        <v>1501</v>
      </c>
      <c r="B3637" s="59" t="s">
        <v>894</v>
      </c>
      <c r="C3637" s="70" t="s">
        <v>19</v>
      </c>
      <c r="D3637" s="67">
        <v>1.8</v>
      </c>
      <c r="E3637" s="66"/>
      <c r="F3637" s="57"/>
    </row>
    <row r="3638" spans="1:28" s="58" customFormat="1" ht="30" hidden="1" customHeight="1" outlineLevel="1" x14ac:dyDescent="0.4">
      <c r="A3638" s="54"/>
      <c r="B3638" s="48" t="s">
        <v>740</v>
      </c>
      <c r="C3638" s="49" t="s">
        <v>19</v>
      </c>
      <c r="D3638" s="50">
        <f>1.8*1.1</f>
        <v>1.9800000000000002</v>
      </c>
      <c r="E3638" s="69"/>
      <c r="F3638" s="57"/>
    </row>
    <row r="3639" spans="1:28" s="58" customFormat="1" ht="30" customHeight="1" collapsed="1" x14ac:dyDescent="0.4">
      <c r="A3639" s="24">
        <f>A3637+1</f>
        <v>1502</v>
      </c>
      <c r="B3639" s="119" t="s">
        <v>1269</v>
      </c>
      <c r="C3639" s="120" t="s">
        <v>58</v>
      </c>
      <c r="D3639" s="121">
        <v>7</v>
      </c>
      <c r="E3639" s="66"/>
      <c r="F3639" s="57"/>
    </row>
    <row r="3640" spans="1:28" ht="30" hidden="1" customHeight="1" outlineLevel="1" x14ac:dyDescent="0.35">
      <c r="A3640" s="47"/>
      <c r="B3640" s="48" t="s">
        <v>1270</v>
      </c>
      <c r="C3640" s="49" t="s">
        <v>58</v>
      </c>
      <c r="D3640" s="55">
        <v>7</v>
      </c>
      <c r="E3640" s="78">
        <v>0.4</v>
      </c>
      <c r="F3640" s="42"/>
    </row>
    <row r="3641" spans="1:28" ht="30" hidden="1" customHeight="1" outlineLevel="1" x14ac:dyDescent="0.35">
      <c r="A3641" s="47"/>
      <c r="B3641" s="48" t="s">
        <v>897</v>
      </c>
      <c r="C3641" s="49" t="s">
        <v>58</v>
      </c>
      <c r="D3641" s="55">
        <v>7</v>
      </c>
      <c r="E3641" s="78">
        <v>5.8220000000000001</v>
      </c>
      <c r="F3641" s="42"/>
    </row>
    <row r="3642" spans="1:28" ht="30" hidden="1" customHeight="1" outlineLevel="1" x14ac:dyDescent="0.35">
      <c r="A3642" s="47"/>
      <c r="B3642" s="48" t="s">
        <v>1271</v>
      </c>
      <c r="C3642" s="49" t="s">
        <v>58</v>
      </c>
      <c r="D3642" s="55">
        <v>60</v>
      </c>
      <c r="E3642" s="78">
        <v>5.8220000000000001</v>
      </c>
      <c r="F3642" s="42"/>
    </row>
    <row r="3643" spans="1:28" ht="30" hidden="1" customHeight="1" outlineLevel="1" x14ac:dyDescent="0.35">
      <c r="A3643" s="47"/>
      <c r="B3643" s="48" t="s">
        <v>898</v>
      </c>
      <c r="C3643" s="49" t="s">
        <v>58</v>
      </c>
      <c r="D3643" s="55">
        <v>7</v>
      </c>
      <c r="E3643" s="78">
        <v>0.72799999999999998</v>
      </c>
      <c r="F3643" s="42"/>
    </row>
    <row r="3644" spans="1:28" ht="30" hidden="1" customHeight="1" outlineLevel="1" x14ac:dyDescent="0.35">
      <c r="A3644" s="47"/>
      <c r="B3644" s="48" t="s">
        <v>1272</v>
      </c>
      <c r="C3644" s="49" t="s">
        <v>58</v>
      </c>
      <c r="D3644" s="55">
        <v>7</v>
      </c>
      <c r="E3644" s="78">
        <v>0.72799999999999998</v>
      </c>
      <c r="F3644" s="42"/>
    </row>
    <row r="3645" spans="1:28" s="58" customFormat="1" ht="30" customHeight="1" collapsed="1" x14ac:dyDescent="0.4">
      <c r="A3645" s="24">
        <f>A3639+1</f>
        <v>1503</v>
      </c>
      <c r="B3645" s="119" t="s">
        <v>1036</v>
      </c>
      <c r="C3645" s="120" t="s">
        <v>1037</v>
      </c>
      <c r="D3645" s="121" t="s">
        <v>1273</v>
      </c>
      <c r="E3645" s="66"/>
      <c r="F3645" s="57"/>
    </row>
    <row r="3646" spans="1:28" ht="30" hidden="1" customHeight="1" outlineLevel="1" x14ac:dyDescent="0.35">
      <c r="A3646" s="47"/>
      <c r="B3646" s="48" t="s">
        <v>1274</v>
      </c>
      <c r="C3646" s="49" t="s">
        <v>58</v>
      </c>
      <c r="D3646" s="55">
        <v>1</v>
      </c>
      <c r="E3646" s="78">
        <v>1.48</v>
      </c>
      <c r="F3646" s="42"/>
    </row>
    <row r="3647" spans="1:28" ht="30" hidden="1" customHeight="1" outlineLevel="1" x14ac:dyDescent="0.35">
      <c r="A3647" s="47"/>
      <c r="B3647" s="48" t="s">
        <v>1275</v>
      </c>
      <c r="C3647" s="49" t="s">
        <v>58</v>
      </c>
      <c r="D3647" s="55">
        <v>1</v>
      </c>
      <c r="E3647" s="78">
        <v>8.8800000000000008</v>
      </c>
      <c r="F3647" s="42"/>
    </row>
    <row r="3648" spans="1:28" ht="30" hidden="1" customHeight="1" outlineLevel="1" x14ac:dyDescent="0.35">
      <c r="A3648" s="47"/>
      <c r="B3648" s="48" t="s">
        <v>1276</v>
      </c>
      <c r="C3648" s="49" t="s">
        <v>58</v>
      </c>
      <c r="D3648" s="55">
        <v>1</v>
      </c>
      <c r="E3648" s="78">
        <v>1.1000000000000001</v>
      </c>
      <c r="F3648" s="42"/>
    </row>
    <row r="3649" spans="1:6" ht="30" hidden="1" customHeight="1" outlineLevel="1" x14ac:dyDescent="0.35">
      <c r="A3649" s="47"/>
      <c r="B3649" s="48" t="s">
        <v>1277</v>
      </c>
      <c r="C3649" s="49" t="s">
        <v>58</v>
      </c>
      <c r="D3649" s="55">
        <v>1</v>
      </c>
      <c r="E3649" s="78">
        <v>1.2</v>
      </c>
      <c r="F3649" s="42"/>
    </row>
    <row r="3650" spans="1:6" ht="30" hidden="1" customHeight="1" outlineLevel="1" x14ac:dyDescent="0.35">
      <c r="A3650" s="47"/>
      <c r="B3650" s="48" t="s">
        <v>1278</v>
      </c>
      <c r="C3650" s="49" t="s">
        <v>58</v>
      </c>
      <c r="D3650" s="55">
        <v>2</v>
      </c>
      <c r="E3650" s="78">
        <v>0.1</v>
      </c>
      <c r="F3650" s="42"/>
    </row>
    <row r="3651" spans="1:6" ht="30" hidden="1" customHeight="1" outlineLevel="1" x14ac:dyDescent="0.35">
      <c r="A3651" s="47"/>
      <c r="B3651" s="48" t="s">
        <v>1044</v>
      </c>
      <c r="C3651" s="49" t="s">
        <v>58</v>
      </c>
      <c r="D3651" s="55">
        <v>1</v>
      </c>
      <c r="E3651" s="78"/>
      <c r="F3651" s="42"/>
    </row>
    <row r="3652" spans="1:6" ht="30" hidden="1" customHeight="1" outlineLevel="1" x14ac:dyDescent="0.35">
      <c r="A3652" s="47"/>
      <c r="B3652" s="48" t="s">
        <v>1045</v>
      </c>
      <c r="C3652" s="49" t="s">
        <v>58</v>
      </c>
      <c r="D3652" s="55">
        <v>1</v>
      </c>
      <c r="E3652" s="78"/>
      <c r="F3652" s="42"/>
    </row>
    <row r="3653" spans="1:6" ht="31" customHeight="1" collapsed="1" x14ac:dyDescent="0.35">
      <c r="A3653" s="72">
        <f>A3645+1</f>
        <v>1504</v>
      </c>
      <c r="B3653" s="25" t="s">
        <v>174</v>
      </c>
      <c r="C3653" s="26" t="s">
        <v>29</v>
      </c>
      <c r="D3653" s="80">
        <v>28.84</v>
      </c>
      <c r="E3653" s="41"/>
      <c r="F3653" s="42"/>
    </row>
    <row r="3654" spans="1:6" ht="31" hidden="1" customHeight="1" outlineLevel="1" x14ac:dyDescent="0.35">
      <c r="A3654" s="47"/>
      <c r="B3654" s="48" t="s">
        <v>175</v>
      </c>
      <c r="C3654" s="49" t="s">
        <v>74</v>
      </c>
      <c r="D3654" s="68">
        <f>28.84*2*2</f>
        <v>115.36</v>
      </c>
      <c r="E3654" s="69">
        <v>0.23699999999999999</v>
      </c>
      <c r="F3654" s="42"/>
    </row>
    <row r="3655" spans="1:6" ht="30" customHeight="1" collapsed="1" x14ac:dyDescent="0.35">
      <c r="A3655" s="72">
        <f>A3653+1</f>
        <v>1505</v>
      </c>
      <c r="B3655" s="59" t="s">
        <v>1279</v>
      </c>
      <c r="C3655" s="60" t="s">
        <v>58</v>
      </c>
      <c r="D3655" s="121">
        <v>7</v>
      </c>
      <c r="E3655" s="66"/>
      <c r="F3655" s="42"/>
    </row>
    <row r="3656" spans="1:6" ht="30" hidden="1" customHeight="1" outlineLevel="1" x14ac:dyDescent="0.35">
      <c r="A3656" s="47"/>
      <c r="B3656" s="48" t="s">
        <v>1045</v>
      </c>
      <c r="C3656" s="49" t="s">
        <v>58</v>
      </c>
      <c r="D3656" s="55">
        <v>7</v>
      </c>
      <c r="E3656" s="78">
        <v>0.432</v>
      </c>
      <c r="F3656" s="42"/>
    </row>
    <row r="3657" spans="1:6" s="58" customFormat="1" ht="30" customHeight="1" collapsed="1" x14ac:dyDescent="0.4">
      <c r="A3657" s="24">
        <f>A3655+1</f>
        <v>1506</v>
      </c>
      <c r="B3657" s="59" t="s">
        <v>1280</v>
      </c>
      <c r="C3657" s="70" t="s">
        <v>132</v>
      </c>
      <c r="D3657" s="62">
        <v>2.75</v>
      </c>
      <c r="E3657" s="79" t="s">
        <v>1281</v>
      </c>
      <c r="F3657" s="57"/>
    </row>
    <row r="3658" spans="1:6" s="58" customFormat="1" ht="61.75" hidden="1" outlineLevel="1" x14ac:dyDescent="0.4">
      <c r="A3658" s="54"/>
      <c r="B3658" s="48" t="s">
        <v>1257</v>
      </c>
      <c r="C3658" s="49" t="s">
        <v>14</v>
      </c>
      <c r="D3658" s="77">
        <v>6.5000000000000002E-2</v>
      </c>
      <c r="E3658" s="69"/>
      <c r="F3658" s="57"/>
    </row>
    <row r="3659" spans="1:6" s="58" customFormat="1" ht="30" hidden="1" customHeight="1" outlineLevel="1" x14ac:dyDescent="0.4">
      <c r="A3659" s="54"/>
      <c r="B3659" s="48" t="s">
        <v>1282</v>
      </c>
      <c r="C3659" s="49" t="s">
        <v>58</v>
      </c>
      <c r="D3659" s="54">
        <v>7</v>
      </c>
      <c r="E3659" s="69"/>
      <c r="F3659" s="57"/>
    </row>
    <row r="3660" spans="1:6" s="58" customFormat="1" ht="30" hidden="1" customHeight="1" outlineLevel="1" x14ac:dyDescent="0.4">
      <c r="A3660" s="54"/>
      <c r="B3660" s="48" t="s">
        <v>1283</v>
      </c>
      <c r="C3660" s="49" t="s">
        <v>58</v>
      </c>
      <c r="D3660" s="54">
        <v>7</v>
      </c>
      <c r="E3660" s="69"/>
      <c r="F3660" s="57"/>
    </row>
    <row r="3661" spans="1:6" s="58" customFormat="1" ht="30" hidden="1" customHeight="1" outlineLevel="1" x14ac:dyDescent="0.4">
      <c r="A3661" s="54"/>
      <c r="B3661" s="48" t="s">
        <v>1284</v>
      </c>
      <c r="C3661" s="49" t="s">
        <v>58</v>
      </c>
      <c r="D3661" s="54">
        <v>7</v>
      </c>
      <c r="E3661" s="69"/>
      <c r="F3661" s="57"/>
    </row>
    <row r="3662" spans="1:6" s="58" customFormat="1" ht="30" customHeight="1" collapsed="1" x14ac:dyDescent="0.4">
      <c r="A3662" s="24">
        <f>A3657+1</f>
        <v>1507</v>
      </c>
      <c r="B3662" s="59" t="s">
        <v>1031</v>
      </c>
      <c r="C3662" s="70" t="s">
        <v>58</v>
      </c>
      <c r="D3662" s="82">
        <v>17</v>
      </c>
      <c r="E3662" s="66"/>
      <c r="F3662" s="57"/>
    </row>
    <row r="3663" spans="1:6" s="58" customFormat="1" ht="30" hidden="1" customHeight="1" outlineLevel="1" x14ac:dyDescent="0.4">
      <c r="A3663" s="54"/>
      <c r="B3663" s="48" t="s">
        <v>1032</v>
      </c>
      <c r="C3663" s="49" t="s">
        <v>58</v>
      </c>
      <c r="D3663" s="54">
        <v>17</v>
      </c>
      <c r="E3663" s="69"/>
      <c r="F3663" s="57"/>
    </row>
    <row r="3664" spans="1:6" ht="30" customHeight="1" collapsed="1" x14ac:dyDescent="0.35">
      <c r="A3664" s="24">
        <f>A3662+1</f>
        <v>1508</v>
      </c>
      <c r="B3664" s="59" t="s">
        <v>757</v>
      </c>
      <c r="C3664" s="60" t="s">
        <v>19</v>
      </c>
      <c r="D3664" s="67">
        <f>80-28.3</f>
        <v>51.7</v>
      </c>
      <c r="E3664" s="66"/>
      <c r="F3664" s="42"/>
    </row>
    <row r="3665" spans="1:28" s="39" customFormat="1" ht="21" customHeight="1" x14ac:dyDescent="0.35">
      <c r="A3665" s="154" t="s">
        <v>1285</v>
      </c>
      <c r="B3665" s="154"/>
      <c r="C3665" s="154"/>
      <c r="D3665" s="154"/>
      <c r="E3665" s="154"/>
      <c r="F3665" s="34"/>
      <c r="G3665" s="35"/>
      <c r="H3665" s="36"/>
      <c r="I3665" s="37"/>
      <c r="J3665" s="37"/>
      <c r="K3665" s="38"/>
      <c r="L3665" s="38"/>
      <c r="M3665" s="38"/>
      <c r="N3665" s="36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</row>
    <row r="3666" spans="1:28" ht="30" customHeight="1" x14ac:dyDescent="0.35">
      <c r="A3666" s="24">
        <f>A3664+1</f>
        <v>1509</v>
      </c>
      <c r="B3666" s="59" t="s">
        <v>600</v>
      </c>
      <c r="C3666" s="60" t="s">
        <v>19</v>
      </c>
      <c r="D3666" s="67">
        <f>2*2*2.5*2</f>
        <v>20</v>
      </c>
      <c r="E3666" s="66"/>
      <c r="F3666" s="42"/>
    </row>
    <row r="3667" spans="1:28" s="58" customFormat="1" ht="30" customHeight="1" x14ac:dyDescent="0.4">
      <c r="A3667" s="24">
        <f>A3666+1</f>
        <v>1510</v>
      </c>
      <c r="B3667" s="119" t="s">
        <v>1286</v>
      </c>
      <c r="C3667" s="120" t="s">
        <v>58</v>
      </c>
      <c r="D3667" s="121">
        <v>2</v>
      </c>
      <c r="E3667" s="66"/>
      <c r="F3667" s="57"/>
    </row>
    <row r="3668" spans="1:28" ht="30" hidden="1" customHeight="1" outlineLevel="1" x14ac:dyDescent="0.35">
      <c r="A3668" s="47"/>
      <c r="B3668" s="48" t="s">
        <v>896</v>
      </c>
      <c r="C3668" s="49" t="s">
        <v>58</v>
      </c>
      <c r="D3668" s="55">
        <v>2</v>
      </c>
      <c r="E3668" s="78">
        <v>0.08</v>
      </c>
      <c r="F3668" s="42"/>
    </row>
    <row r="3669" spans="1:28" ht="30" hidden="1" customHeight="1" outlineLevel="1" x14ac:dyDescent="0.35">
      <c r="A3669" s="47"/>
      <c r="B3669" s="48" t="s">
        <v>897</v>
      </c>
      <c r="C3669" s="49" t="s">
        <v>58</v>
      </c>
      <c r="D3669" s="55">
        <v>34</v>
      </c>
      <c r="E3669" s="78">
        <v>1.224</v>
      </c>
      <c r="F3669" s="42"/>
    </row>
    <row r="3670" spans="1:28" ht="30" hidden="1" customHeight="1" outlineLevel="1" x14ac:dyDescent="0.35">
      <c r="A3670" s="47"/>
      <c r="B3670" s="48" t="s">
        <v>898</v>
      </c>
      <c r="C3670" s="49" t="s">
        <v>58</v>
      </c>
      <c r="D3670" s="55">
        <v>2</v>
      </c>
      <c r="E3670" s="78">
        <v>8.4000000000000005E-2</v>
      </c>
      <c r="F3670" s="42"/>
    </row>
    <row r="3671" spans="1:28" ht="30" customHeight="1" collapsed="1" x14ac:dyDescent="0.35">
      <c r="A3671" s="24">
        <f>A3667+1</f>
        <v>1511</v>
      </c>
      <c r="B3671" s="59" t="s">
        <v>1279</v>
      </c>
      <c r="C3671" s="60" t="s">
        <v>58</v>
      </c>
      <c r="D3671" s="121">
        <v>2</v>
      </c>
      <c r="E3671" s="66"/>
      <c r="F3671" s="42"/>
    </row>
    <row r="3672" spans="1:28" ht="30" hidden="1" customHeight="1" outlineLevel="1" x14ac:dyDescent="0.35">
      <c r="A3672" s="47"/>
      <c r="B3672" s="48" t="s">
        <v>1045</v>
      </c>
      <c r="C3672" s="49" t="s">
        <v>58</v>
      </c>
      <c r="D3672" s="55">
        <v>2</v>
      </c>
      <c r="E3672" s="78">
        <v>4.4999999999999998E-2</v>
      </c>
      <c r="F3672" s="42"/>
    </row>
    <row r="3673" spans="1:28" s="58" customFormat="1" ht="30" customHeight="1" collapsed="1" x14ac:dyDescent="0.4">
      <c r="A3673" s="24">
        <f>A3671+1</f>
        <v>1512</v>
      </c>
      <c r="B3673" s="59" t="s">
        <v>1031</v>
      </c>
      <c r="C3673" s="70" t="s">
        <v>58</v>
      </c>
      <c r="D3673" s="82">
        <v>5</v>
      </c>
      <c r="E3673" s="66"/>
      <c r="F3673" s="57"/>
    </row>
    <row r="3674" spans="1:28" s="58" customFormat="1" ht="30" hidden="1" customHeight="1" outlineLevel="1" x14ac:dyDescent="0.4">
      <c r="A3674" s="54"/>
      <c r="B3674" s="48" t="s">
        <v>1032</v>
      </c>
      <c r="C3674" s="49" t="s">
        <v>58</v>
      </c>
      <c r="D3674" s="54">
        <v>5</v>
      </c>
      <c r="E3674" s="69"/>
      <c r="F3674" s="57"/>
    </row>
    <row r="3675" spans="1:28" s="58" customFormat="1" ht="30" customHeight="1" collapsed="1" x14ac:dyDescent="0.4">
      <c r="A3675" s="24">
        <f>A3673+1</f>
        <v>1513</v>
      </c>
      <c r="B3675" s="59" t="s">
        <v>894</v>
      </c>
      <c r="C3675" s="70" t="s">
        <v>19</v>
      </c>
      <c r="D3675" s="67">
        <v>0.2</v>
      </c>
      <c r="E3675" s="66"/>
      <c r="F3675" s="57"/>
    </row>
    <row r="3676" spans="1:28" s="58" customFormat="1" ht="30" hidden="1" customHeight="1" outlineLevel="1" x14ac:dyDescent="0.4">
      <c r="A3676" s="54"/>
      <c r="B3676" s="48" t="s">
        <v>740</v>
      </c>
      <c r="C3676" s="49" t="s">
        <v>19</v>
      </c>
      <c r="D3676" s="50">
        <f>0.2*1.1</f>
        <v>0.22000000000000003</v>
      </c>
      <c r="E3676" s="69"/>
      <c r="F3676" s="57"/>
    </row>
    <row r="3677" spans="1:28" s="58" customFormat="1" ht="30" customHeight="1" collapsed="1" x14ac:dyDescent="0.4">
      <c r="A3677" s="24">
        <f>A3675+1</f>
        <v>1514</v>
      </c>
      <c r="B3677" s="59" t="s">
        <v>668</v>
      </c>
      <c r="C3677" s="70" t="s">
        <v>19</v>
      </c>
      <c r="D3677" s="67">
        <v>0.7</v>
      </c>
      <c r="E3677" s="66"/>
      <c r="F3677" s="57"/>
    </row>
    <row r="3678" spans="1:28" ht="30" customHeight="1" x14ac:dyDescent="0.35">
      <c r="A3678" s="24">
        <f>A3677+1</f>
        <v>1515</v>
      </c>
      <c r="B3678" s="59" t="s">
        <v>757</v>
      </c>
      <c r="C3678" s="60" t="s">
        <v>19</v>
      </c>
      <c r="D3678" s="67">
        <f>20-5.7</f>
        <v>14.3</v>
      </c>
      <c r="E3678" s="66"/>
      <c r="F3678" s="42"/>
    </row>
    <row r="3679" spans="1:28" s="39" customFormat="1" ht="21" customHeight="1" x14ac:dyDescent="0.35">
      <c r="A3679" s="154" t="s">
        <v>1287</v>
      </c>
      <c r="B3679" s="154"/>
      <c r="C3679" s="154"/>
      <c r="D3679" s="154"/>
      <c r="E3679" s="154"/>
      <c r="F3679" s="34"/>
      <c r="G3679" s="35"/>
      <c r="H3679" s="36"/>
      <c r="I3679" s="37"/>
      <c r="J3679" s="37"/>
      <c r="K3679" s="38"/>
      <c r="L3679" s="38"/>
      <c r="M3679" s="38"/>
      <c r="N3679" s="36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</row>
    <row r="3680" spans="1:28" ht="31" customHeight="1" x14ac:dyDescent="0.35">
      <c r="A3680" s="24">
        <f>A3678+1</f>
        <v>1516</v>
      </c>
      <c r="B3680" s="59" t="s">
        <v>600</v>
      </c>
      <c r="C3680" s="26" t="s">
        <v>19</v>
      </c>
      <c r="D3680" s="40">
        <f>(192*1.8*2)</f>
        <v>691.2</v>
      </c>
      <c r="E3680" s="41"/>
      <c r="F3680" s="42"/>
    </row>
    <row r="3681" spans="1:28" ht="31" customHeight="1" x14ac:dyDescent="0.35">
      <c r="A3681" s="24">
        <f>A3680+1</f>
        <v>1517</v>
      </c>
      <c r="B3681" s="59" t="s">
        <v>1288</v>
      </c>
      <c r="C3681" s="26" t="s">
        <v>132</v>
      </c>
      <c r="D3681" s="40">
        <v>192</v>
      </c>
      <c r="E3681" s="89" t="s">
        <v>1281</v>
      </c>
      <c r="F3681" s="42"/>
    </row>
    <row r="3682" spans="1:28" ht="46.3" hidden="1" outlineLevel="1" x14ac:dyDescent="0.35">
      <c r="A3682" s="47"/>
      <c r="B3682" s="48" t="s">
        <v>1289</v>
      </c>
      <c r="C3682" s="49" t="s">
        <v>14</v>
      </c>
      <c r="D3682" s="65">
        <v>4.5679999999999996</v>
      </c>
      <c r="E3682" s="69">
        <v>4.5679999999999996</v>
      </c>
      <c r="F3682" s="42"/>
    </row>
    <row r="3683" spans="1:28" ht="31" hidden="1" customHeight="1" outlineLevel="1" x14ac:dyDescent="0.35">
      <c r="A3683" s="47"/>
      <c r="B3683" s="48" t="s">
        <v>1290</v>
      </c>
      <c r="C3683" s="49" t="s">
        <v>58</v>
      </c>
      <c r="D3683" s="55">
        <v>1</v>
      </c>
      <c r="E3683" s="69">
        <v>2E-3</v>
      </c>
      <c r="F3683" s="42"/>
    </row>
    <row r="3684" spans="1:28" ht="31" hidden="1" customHeight="1" outlineLevel="1" x14ac:dyDescent="0.35">
      <c r="A3684" s="47"/>
      <c r="B3684" s="48" t="s">
        <v>1291</v>
      </c>
      <c r="C3684" s="49" t="s">
        <v>58</v>
      </c>
      <c r="D3684" s="55">
        <v>3</v>
      </c>
      <c r="E3684" s="69">
        <v>3.5999999999999997E-2</v>
      </c>
      <c r="F3684" s="42"/>
    </row>
    <row r="3685" spans="1:28" s="58" customFormat="1" ht="30" customHeight="1" collapsed="1" x14ac:dyDescent="0.4">
      <c r="A3685" s="24">
        <f>A3681+1</f>
        <v>1518</v>
      </c>
      <c r="B3685" s="71" t="s">
        <v>1292</v>
      </c>
      <c r="C3685" s="79" t="s">
        <v>1293</v>
      </c>
      <c r="D3685" s="125" t="s">
        <v>1294</v>
      </c>
      <c r="E3685" s="127"/>
      <c r="F3685" s="57"/>
    </row>
    <row r="3686" spans="1:28" s="58" customFormat="1" ht="46.3" hidden="1" outlineLevel="1" x14ac:dyDescent="0.4">
      <c r="A3686" s="47"/>
      <c r="B3686" s="48" t="s">
        <v>1295</v>
      </c>
      <c r="C3686" s="49" t="s">
        <v>14</v>
      </c>
      <c r="D3686" s="65">
        <v>0.621</v>
      </c>
      <c r="E3686" s="51">
        <f>D3686</f>
        <v>0.621</v>
      </c>
      <c r="F3686" s="57"/>
    </row>
    <row r="3687" spans="1:28" ht="30" customHeight="1" collapsed="1" x14ac:dyDescent="0.35">
      <c r="A3687" s="24">
        <f>A3685+1</f>
        <v>1519</v>
      </c>
      <c r="B3687" s="71" t="s">
        <v>1296</v>
      </c>
      <c r="C3687" s="79" t="s">
        <v>132</v>
      </c>
      <c r="D3687" s="108">
        <v>10</v>
      </c>
      <c r="E3687" s="127"/>
      <c r="F3687" s="42"/>
    </row>
    <row r="3688" spans="1:28" ht="30" hidden="1" customHeight="1" outlineLevel="1" x14ac:dyDescent="0.35">
      <c r="A3688" s="54"/>
      <c r="B3688" s="48" t="s">
        <v>1297</v>
      </c>
      <c r="C3688" s="49" t="s">
        <v>58</v>
      </c>
      <c r="D3688" s="55">
        <v>2</v>
      </c>
      <c r="E3688" s="51"/>
      <c r="F3688" s="42"/>
    </row>
    <row r="3689" spans="1:28" ht="30" hidden="1" customHeight="1" outlineLevel="1" x14ac:dyDescent="0.35">
      <c r="A3689" s="47"/>
      <c r="B3689" s="48" t="s">
        <v>1298</v>
      </c>
      <c r="C3689" s="49" t="s">
        <v>74</v>
      </c>
      <c r="D3689" s="55">
        <v>10</v>
      </c>
      <c r="E3689" s="129"/>
      <c r="F3689" s="42"/>
    </row>
    <row r="3690" spans="1:28" ht="31" customHeight="1" collapsed="1" x14ac:dyDescent="0.35">
      <c r="A3690" s="24">
        <f>A3687+1</f>
        <v>1520</v>
      </c>
      <c r="B3690" s="59" t="s">
        <v>1299</v>
      </c>
      <c r="C3690" s="26" t="s">
        <v>132</v>
      </c>
      <c r="D3690" s="40">
        <v>12</v>
      </c>
      <c r="E3690" s="89" t="s">
        <v>1281</v>
      </c>
      <c r="F3690" s="42"/>
    </row>
    <row r="3691" spans="1:28" ht="46.3" hidden="1" outlineLevel="1" x14ac:dyDescent="0.35">
      <c r="A3691" s="47"/>
      <c r="B3691" s="48" t="s">
        <v>1289</v>
      </c>
      <c r="C3691" s="49" t="s">
        <v>14</v>
      </c>
      <c r="D3691" s="65">
        <v>0.192</v>
      </c>
      <c r="E3691" s="69">
        <v>4.5679999999999996</v>
      </c>
      <c r="F3691" s="42"/>
    </row>
    <row r="3692" spans="1:28" ht="31" hidden="1" customHeight="1" outlineLevel="1" x14ac:dyDescent="0.35">
      <c r="A3692" s="47"/>
      <c r="B3692" s="48" t="s">
        <v>1300</v>
      </c>
      <c r="C3692" s="49" t="s">
        <v>58</v>
      </c>
      <c r="D3692" s="55">
        <v>1</v>
      </c>
      <c r="E3692" s="69">
        <v>2E-3</v>
      </c>
      <c r="F3692" s="42"/>
    </row>
    <row r="3693" spans="1:28" ht="31" hidden="1" customHeight="1" outlineLevel="1" x14ac:dyDescent="0.35">
      <c r="A3693" s="47"/>
      <c r="B3693" s="48" t="s">
        <v>1301</v>
      </c>
      <c r="C3693" s="49" t="s">
        <v>58</v>
      </c>
      <c r="D3693" s="55">
        <v>2</v>
      </c>
      <c r="E3693" s="69">
        <v>3.5999999999999997E-2</v>
      </c>
      <c r="F3693" s="42"/>
    </row>
    <row r="3694" spans="1:28" s="33" customFormat="1" ht="31" customHeight="1" collapsed="1" x14ac:dyDescent="0.35">
      <c r="A3694" s="24">
        <f>A3690+1</f>
        <v>1521</v>
      </c>
      <c r="B3694" s="59" t="s">
        <v>510</v>
      </c>
      <c r="C3694" s="26" t="s">
        <v>58</v>
      </c>
      <c r="D3694" s="73">
        <v>1</v>
      </c>
      <c r="E3694" s="28"/>
      <c r="F3694" s="29"/>
      <c r="G3694" s="30"/>
      <c r="H3694" s="31"/>
      <c r="I3694" s="30"/>
      <c r="J3694" s="30"/>
      <c r="K3694" s="32"/>
      <c r="L3694" s="32"/>
      <c r="M3694" s="32"/>
      <c r="N3694" s="31"/>
      <c r="O3694" s="32"/>
      <c r="P3694" s="32"/>
      <c r="Q3694" s="32"/>
      <c r="R3694" s="32"/>
      <c r="S3694" s="32"/>
      <c r="T3694" s="32"/>
      <c r="U3694" s="32"/>
      <c r="V3694" s="32"/>
      <c r="W3694" s="32"/>
      <c r="X3694" s="32"/>
      <c r="Y3694" s="32"/>
      <c r="Z3694" s="32"/>
      <c r="AA3694" s="32"/>
      <c r="AB3694" s="32"/>
    </row>
    <row r="3695" spans="1:28" s="39" customFormat="1" ht="46.3" hidden="1" outlineLevel="1" x14ac:dyDescent="0.35">
      <c r="A3695" s="74"/>
      <c r="B3695" s="48" t="s">
        <v>511</v>
      </c>
      <c r="C3695" s="49" t="s">
        <v>251</v>
      </c>
      <c r="D3695" s="55">
        <v>1</v>
      </c>
      <c r="E3695" s="78">
        <v>5.6000000000000001E-2</v>
      </c>
      <c r="F3695" s="34"/>
      <c r="G3695" s="35"/>
      <c r="H3695" s="36"/>
      <c r="I3695" s="37"/>
      <c r="J3695" s="37"/>
      <c r="K3695" s="38"/>
      <c r="L3695" s="38"/>
      <c r="M3695" s="38"/>
      <c r="N3695" s="36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</row>
    <row r="3696" spans="1:28" s="39" customFormat="1" ht="18" hidden="1" outlineLevel="1" x14ac:dyDescent="0.35">
      <c r="A3696" s="74"/>
      <c r="B3696" s="48" t="s">
        <v>1033</v>
      </c>
      <c r="C3696" s="49" t="s">
        <v>251</v>
      </c>
      <c r="D3696" s="55">
        <v>1</v>
      </c>
      <c r="E3696" s="78">
        <v>5.6000000000000001E-2</v>
      </c>
      <c r="F3696" s="34"/>
      <c r="G3696" s="35"/>
      <c r="H3696" s="36"/>
      <c r="I3696" s="37"/>
      <c r="J3696" s="37"/>
      <c r="K3696" s="38"/>
      <c r="L3696" s="38"/>
      <c r="M3696" s="38"/>
      <c r="N3696" s="36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</row>
    <row r="3697" spans="1:203" s="33" customFormat="1" ht="31" customHeight="1" collapsed="1" x14ac:dyDescent="0.35">
      <c r="A3697" s="24">
        <f>A3694+1</f>
        <v>1522</v>
      </c>
      <c r="B3697" s="59" t="s">
        <v>506</v>
      </c>
      <c r="C3697" s="26" t="s">
        <v>58</v>
      </c>
      <c r="D3697" s="73">
        <v>1</v>
      </c>
      <c r="E3697" s="28"/>
      <c r="F3697" s="29"/>
      <c r="G3697" s="30"/>
      <c r="H3697" s="31"/>
      <c r="I3697" s="30"/>
      <c r="J3697" s="30"/>
      <c r="K3697" s="32"/>
      <c r="L3697" s="32"/>
      <c r="M3697" s="32"/>
      <c r="N3697" s="31"/>
      <c r="O3697" s="32"/>
      <c r="P3697" s="32"/>
      <c r="Q3697" s="32"/>
      <c r="R3697" s="32"/>
      <c r="S3697" s="32"/>
      <c r="T3697" s="32"/>
      <c r="U3697" s="32"/>
      <c r="V3697" s="32"/>
      <c r="W3697" s="32"/>
      <c r="X3697" s="32"/>
      <c r="Y3697" s="32"/>
      <c r="Z3697" s="32"/>
      <c r="AA3697" s="32"/>
      <c r="AB3697" s="32"/>
    </row>
    <row r="3698" spans="1:203" s="39" customFormat="1" ht="46.3" hidden="1" outlineLevel="1" x14ac:dyDescent="0.35">
      <c r="A3698" s="74"/>
      <c r="B3698" s="48" t="s">
        <v>507</v>
      </c>
      <c r="C3698" s="49" t="s">
        <v>251</v>
      </c>
      <c r="D3698" s="55">
        <v>1</v>
      </c>
      <c r="E3698" s="78">
        <v>5.6000000000000001E-2</v>
      </c>
      <c r="F3698" s="34"/>
      <c r="G3698" s="35"/>
      <c r="H3698" s="36"/>
      <c r="I3698" s="37"/>
      <c r="J3698" s="37"/>
      <c r="K3698" s="38"/>
      <c r="L3698" s="38"/>
      <c r="M3698" s="38"/>
      <c r="N3698" s="36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</row>
    <row r="3699" spans="1:203" s="39" customFormat="1" ht="18" hidden="1" outlineLevel="1" x14ac:dyDescent="0.35">
      <c r="A3699" s="74"/>
      <c r="B3699" s="48" t="s">
        <v>1302</v>
      </c>
      <c r="C3699" s="49" t="s">
        <v>251</v>
      </c>
      <c r="D3699" s="55">
        <v>1</v>
      </c>
      <c r="E3699" s="78">
        <v>5.6000000000000001E-2</v>
      </c>
      <c r="F3699" s="34"/>
      <c r="G3699" s="35"/>
      <c r="H3699" s="36"/>
      <c r="I3699" s="37"/>
      <c r="J3699" s="37"/>
      <c r="K3699" s="38"/>
      <c r="L3699" s="38"/>
      <c r="M3699" s="38"/>
      <c r="N3699" s="36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</row>
    <row r="3700" spans="1:203" ht="30" customHeight="1" collapsed="1" x14ac:dyDescent="0.35">
      <c r="A3700" s="24">
        <f>A3697+1</f>
        <v>1523</v>
      </c>
      <c r="B3700" s="59" t="s">
        <v>916</v>
      </c>
      <c r="C3700" s="60" t="s">
        <v>19</v>
      </c>
      <c r="D3700" s="67">
        <f>D3680-7.2</f>
        <v>684</v>
      </c>
      <c r="E3700" s="66"/>
      <c r="F3700" s="42"/>
    </row>
    <row r="3701" spans="1:203" ht="30" customHeight="1" x14ac:dyDescent="0.4">
      <c r="A3701" s="163" t="s">
        <v>1303</v>
      </c>
      <c r="B3701" s="163"/>
      <c r="C3701" s="163"/>
      <c r="D3701" s="163"/>
      <c r="E3701" s="163"/>
      <c r="F3701" s="43"/>
      <c r="K3701" s="43"/>
      <c r="L3701" s="43"/>
      <c r="M3701" s="43"/>
      <c r="O3701" s="43"/>
      <c r="P3701" s="43"/>
      <c r="AC3701" s="130"/>
      <c r="AD3701" s="130"/>
      <c r="AE3701" s="130"/>
      <c r="AF3701" s="130"/>
      <c r="AG3701" s="130"/>
      <c r="AH3701" s="130"/>
      <c r="AI3701" s="130"/>
      <c r="AJ3701" s="130"/>
      <c r="AK3701" s="130"/>
      <c r="AL3701" s="130"/>
      <c r="AM3701" s="130"/>
      <c r="AN3701" s="130"/>
      <c r="AO3701" s="130"/>
      <c r="AP3701" s="130"/>
      <c r="AQ3701" s="130"/>
      <c r="AR3701" s="130"/>
      <c r="AS3701" s="130"/>
      <c r="AT3701" s="130"/>
      <c r="AU3701" s="130"/>
      <c r="AV3701" s="130"/>
      <c r="AW3701" s="130"/>
      <c r="AX3701" s="130"/>
      <c r="AY3701" s="130"/>
      <c r="AZ3701" s="130"/>
      <c r="BA3701" s="130"/>
      <c r="BB3701" s="130"/>
      <c r="BC3701" s="130"/>
      <c r="BD3701" s="130"/>
      <c r="BE3701" s="130"/>
      <c r="BF3701" s="130"/>
      <c r="BG3701" s="130"/>
      <c r="BH3701" s="130"/>
      <c r="BI3701" s="130"/>
      <c r="BJ3701" s="130"/>
      <c r="BK3701" s="130"/>
      <c r="BL3701" s="130"/>
      <c r="BM3701" s="130"/>
      <c r="BN3701" s="130"/>
      <c r="BO3701" s="130"/>
      <c r="BP3701" s="130"/>
      <c r="BQ3701" s="130"/>
      <c r="BR3701" s="130"/>
      <c r="BS3701" s="130"/>
      <c r="BT3701" s="130"/>
      <c r="BU3701" s="130"/>
      <c r="BV3701" s="130"/>
      <c r="BW3701" s="130"/>
      <c r="BX3701" s="130"/>
      <c r="BY3701" s="130"/>
      <c r="BZ3701" s="130"/>
      <c r="CA3701" s="130"/>
      <c r="CB3701" s="130"/>
      <c r="CC3701" s="130"/>
      <c r="CD3701" s="130"/>
      <c r="CE3701" s="130"/>
      <c r="CF3701" s="130"/>
      <c r="CG3701" s="130"/>
      <c r="CH3701" s="130"/>
      <c r="CI3701" s="130"/>
      <c r="CJ3701" s="130"/>
      <c r="CK3701" s="130"/>
      <c r="CL3701" s="130"/>
      <c r="CM3701" s="130"/>
      <c r="CN3701" s="130"/>
      <c r="CO3701" s="130"/>
      <c r="CP3701" s="130"/>
      <c r="CQ3701" s="130"/>
      <c r="CR3701" s="130"/>
      <c r="CS3701" s="130"/>
      <c r="CT3701" s="130"/>
      <c r="CU3701" s="130"/>
      <c r="CV3701" s="130"/>
      <c r="CW3701" s="130"/>
      <c r="CX3701" s="130"/>
      <c r="CY3701" s="130"/>
      <c r="CZ3701" s="130"/>
      <c r="DA3701" s="130"/>
      <c r="DB3701" s="130"/>
      <c r="DC3701" s="130"/>
      <c r="DD3701" s="130"/>
      <c r="DE3701" s="130"/>
      <c r="DF3701" s="130"/>
      <c r="DG3701" s="130"/>
      <c r="DH3701" s="130"/>
      <c r="DI3701" s="130"/>
      <c r="DJ3701" s="130"/>
      <c r="DK3701" s="130"/>
      <c r="DL3701" s="130"/>
      <c r="DM3701" s="130"/>
      <c r="DN3701" s="130"/>
      <c r="DO3701" s="130"/>
      <c r="DP3701" s="130"/>
      <c r="DQ3701" s="130"/>
      <c r="DR3701" s="130"/>
      <c r="DS3701" s="130"/>
      <c r="DT3701" s="130"/>
      <c r="DU3701" s="130"/>
      <c r="DV3701" s="130"/>
      <c r="DW3701" s="130"/>
      <c r="DX3701" s="130"/>
      <c r="DY3701" s="130"/>
      <c r="DZ3701" s="130"/>
      <c r="EA3701" s="130"/>
      <c r="EB3701" s="130"/>
      <c r="EC3701" s="130"/>
      <c r="ED3701" s="130"/>
      <c r="EE3701" s="130"/>
      <c r="EF3701" s="130"/>
      <c r="EG3701" s="130"/>
      <c r="EH3701" s="130"/>
      <c r="EI3701" s="130"/>
      <c r="EJ3701" s="130"/>
      <c r="EK3701" s="130"/>
      <c r="EL3701" s="130"/>
      <c r="EM3701" s="130"/>
      <c r="EN3701" s="130"/>
      <c r="EO3701" s="130"/>
      <c r="EP3701" s="130"/>
      <c r="EQ3701" s="130"/>
      <c r="ER3701" s="130"/>
      <c r="ES3701" s="130"/>
      <c r="ET3701" s="130"/>
      <c r="EU3701" s="130"/>
      <c r="EV3701" s="130"/>
      <c r="EW3701" s="130"/>
      <c r="EX3701" s="130"/>
      <c r="EY3701" s="130"/>
      <c r="EZ3701" s="130"/>
      <c r="FA3701" s="130"/>
      <c r="FB3701" s="130"/>
      <c r="FC3701" s="130"/>
      <c r="FD3701" s="130"/>
      <c r="FE3701" s="130"/>
      <c r="FF3701" s="130"/>
      <c r="FG3701" s="130"/>
      <c r="FH3701" s="130"/>
      <c r="FI3701" s="130"/>
      <c r="FJ3701" s="130"/>
      <c r="FK3701" s="130"/>
      <c r="FL3701" s="130"/>
      <c r="FM3701" s="130"/>
      <c r="FN3701" s="130"/>
      <c r="FO3701" s="130"/>
      <c r="FP3701" s="130"/>
      <c r="FQ3701" s="130"/>
      <c r="FR3701" s="130"/>
      <c r="FS3701" s="130"/>
      <c r="FT3701" s="130"/>
      <c r="FU3701" s="130"/>
      <c r="FV3701" s="130"/>
      <c r="FW3701" s="130"/>
      <c r="FX3701" s="130"/>
      <c r="FY3701" s="130"/>
      <c r="FZ3701" s="130"/>
      <c r="GA3701" s="130"/>
      <c r="GB3701" s="130"/>
      <c r="GC3701" s="130"/>
      <c r="GD3701" s="130"/>
      <c r="GE3701" s="130"/>
      <c r="GF3701" s="130"/>
      <c r="GG3701" s="130"/>
      <c r="GH3701" s="130"/>
      <c r="GI3701" s="130"/>
      <c r="GJ3701" s="130"/>
      <c r="GK3701" s="130"/>
      <c r="GL3701" s="130"/>
      <c r="GM3701" s="130"/>
      <c r="GN3701" s="130"/>
      <c r="GO3701" s="130"/>
      <c r="GP3701" s="130"/>
      <c r="GQ3701" s="130"/>
      <c r="GR3701" s="130"/>
      <c r="GS3701" s="130"/>
      <c r="GT3701" s="130"/>
      <c r="GU3701" s="130"/>
    </row>
    <row r="3702" spans="1:203" s="132" customFormat="1" ht="45" customHeight="1" x14ac:dyDescent="0.4">
      <c r="A3702" s="164" t="s">
        <v>1304</v>
      </c>
      <c r="B3702" s="164"/>
      <c r="C3702" s="164"/>
      <c r="D3702" s="164"/>
      <c r="E3702" s="164"/>
      <c r="F3702" s="131"/>
    </row>
    <row r="3703" spans="1:203" s="132" customFormat="1" ht="40.5" customHeight="1" x14ac:dyDescent="0.4">
      <c r="A3703" s="163" t="s">
        <v>1305</v>
      </c>
      <c r="B3703" s="163"/>
      <c r="C3703" s="163"/>
      <c r="D3703" s="163"/>
      <c r="E3703" s="163"/>
      <c r="F3703" s="131"/>
    </row>
    <row r="3704" spans="1:203" s="132" customFormat="1" ht="113.25" customHeight="1" x14ac:dyDescent="0.4">
      <c r="A3704" s="163" t="s">
        <v>1329</v>
      </c>
      <c r="B3704" s="163"/>
      <c r="C3704" s="163"/>
      <c r="D3704" s="163"/>
      <c r="E3704" s="163"/>
      <c r="F3704" s="131"/>
    </row>
    <row r="3705" spans="1:203" s="58" customFormat="1" ht="27" customHeight="1" x14ac:dyDescent="0.4">
      <c r="A3705" s="163" t="s">
        <v>1306</v>
      </c>
      <c r="B3705" s="163"/>
      <c r="C3705" s="163"/>
      <c r="D3705" s="163"/>
      <c r="E3705" s="163"/>
      <c r="F3705" s="133"/>
    </row>
    <row r="3706" spans="1:203" s="132" customFormat="1" ht="43.5" customHeight="1" x14ac:dyDescent="0.4">
      <c r="A3706" s="164" t="s">
        <v>1307</v>
      </c>
      <c r="B3706" s="164"/>
      <c r="C3706" s="164"/>
      <c r="D3706" s="164"/>
      <c r="E3706" s="164"/>
      <c r="F3706" s="131"/>
    </row>
    <row r="3707" spans="1:203" s="132" customFormat="1" ht="42" customHeight="1" x14ac:dyDescent="0.4">
      <c r="A3707" s="164" t="s">
        <v>1308</v>
      </c>
      <c r="B3707" s="164"/>
      <c r="C3707" s="164"/>
      <c r="D3707" s="164"/>
      <c r="E3707" s="164"/>
      <c r="F3707" s="131"/>
    </row>
    <row r="3708" spans="1:203" s="132" customFormat="1" ht="40.5" customHeight="1" x14ac:dyDescent="0.4">
      <c r="A3708" s="164" t="s">
        <v>1309</v>
      </c>
      <c r="B3708" s="164"/>
      <c r="C3708" s="164"/>
      <c r="D3708" s="164"/>
      <c r="E3708" s="164"/>
      <c r="F3708" s="131"/>
    </row>
    <row r="3709" spans="1:203" s="132" customFormat="1" ht="40.5" customHeight="1" x14ac:dyDescent="0.4">
      <c r="A3709" s="164" t="s">
        <v>1310</v>
      </c>
      <c r="B3709" s="164"/>
      <c r="C3709" s="164"/>
      <c r="D3709" s="164"/>
      <c r="E3709" s="164"/>
      <c r="F3709" s="131"/>
    </row>
    <row r="3710" spans="1:203" s="132" customFormat="1" ht="39.75" customHeight="1" x14ac:dyDescent="0.4">
      <c r="A3710" s="164" t="s">
        <v>1311</v>
      </c>
      <c r="B3710" s="164"/>
      <c r="C3710" s="164"/>
      <c r="D3710" s="164"/>
      <c r="E3710" s="164"/>
      <c r="F3710" s="131"/>
    </row>
    <row r="3711" spans="1:203" s="132" customFormat="1" ht="31.5" customHeight="1" x14ac:dyDescent="0.4">
      <c r="A3711" s="164" t="s">
        <v>1312</v>
      </c>
      <c r="B3711" s="164"/>
      <c r="C3711" s="164"/>
      <c r="D3711" s="164"/>
      <c r="E3711" s="164"/>
      <c r="F3711" s="131"/>
    </row>
    <row r="3712" spans="1:203" s="132" customFormat="1" ht="26.25" customHeight="1" x14ac:dyDescent="0.4">
      <c r="A3712" s="164" t="s">
        <v>1313</v>
      </c>
      <c r="B3712" s="164"/>
      <c r="C3712" s="164"/>
      <c r="D3712" s="164"/>
      <c r="E3712" s="164"/>
      <c r="F3712" s="131"/>
    </row>
    <row r="3713" spans="1:203" ht="32.15" customHeight="1" x14ac:dyDescent="0.4">
      <c r="A3713" s="163" t="s">
        <v>1314</v>
      </c>
      <c r="B3713" s="163"/>
      <c r="C3713" s="163"/>
      <c r="D3713" s="163"/>
      <c r="E3713" s="163"/>
      <c r="AC3713" s="130"/>
      <c r="AD3713" s="130"/>
      <c r="AE3713" s="130"/>
      <c r="AF3713" s="130"/>
      <c r="AG3713" s="130"/>
      <c r="AH3713" s="130"/>
      <c r="AI3713" s="130"/>
      <c r="AJ3713" s="130"/>
      <c r="AK3713" s="130"/>
      <c r="AL3713" s="130"/>
      <c r="AM3713" s="130"/>
      <c r="AN3713" s="130"/>
      <c r="AO3713" s="130"/>
      <c r="AP3713" s="130"/>
      <c r="AQ3713" s="130"/>
      <c r="AR3713" s="130"/>
      <c r="AS3713" s="130"/>
      <c r="AT3713" s="130"/>
      <c r="AU3713" s="130"/>
      <c r="AV3713" s="130"/>
      <c r="AW3713" s="130"/>
      <c r="AX3713" s="130"/>
      <c r="AY3713" s="130"/>
      <c r="AZ3713" s="130"/>
      <c r="BA3713" s="130"/>
      <c r="BB3713" s="130"/>
      <c r="BC3713" s="130"/>
      <c r="BD3713" s="130"/>
      <c r="BE3713" s="130"/>
      <c r="BF3713" s="130"/>
      <c r="BG3713" s="130"/>
      <c r="BH3713" s="130"/>
      <c r="BI3713" s="130"/>
      <c r="BJ3713" s="130"/>
      <c r="BK3713" s="130"/>
      <c r="BL3713" s="130"/>
      <c r="BM3713" s="130"/>
      <c r="BN3713" s="130"/>
      <c r="BO3713" s="130"/>
      <c r="BP3713" s="130"/>
      <c r="BQ3713" s="130"/>
      <c r="BR3713" s="130"/>
      <c r="BS3713" s="130"/>
      <c r="BT3713" s="130"/>
      <c r="BU3713" s="130"/>
      <c r="BV3713" s="130"/>
      <c r="BW3713" s="130"/>
      <c r="BX3713" s="130"/>
      <c r="BY3713" s="130"/>
      <c r="BZ3713" s="130"/>
      <c r="CA3713" s="130"/>
      <c r="CB3713" s="130"/>
      <c r="CC3713" s="130"/>
      <c r="CD3713" s="130"/>
      <c r="CE3713" s="130"/>
      <c r="CF3713" s="130"/>
      <c r="CG3713" s="130"/>
      <c r="CH3713" s="130"/>
      <c r="CI3713" s="130"/>
      <c r="CJ3713" s="130"/>
      <c r="CK3713" s="130"/>
      <c r="CL3713" s="130"/>
      <c r="CM3713" s="130"/>
      <c r="CN3713" s="130"/>
      <c r="CO3713" s="130"/>
      <c r="CP3713" s="130"/>
      <c r="CQ3713" s="130"/>
      <c r="CR3713" s="130"/>
      <c r="CS3713" s="130"/>
      <c r="CT3713" s="130"/>
      <c r="CU3713" s="130"/>
      <c r="CV3713" s="130"/>
      <c r="CW3713" s="130"/>
      <c r="CX3713" s="130"/>
      <c r="CY3713" s="130"/>
      <c r="CZ3713" s="130"/>
      <c r="DA3713" s="130"/>
      <c r="DB3713" s="130"/>
      <c r="DC3713" s="130"/>
      <c r="DD3713" s="130"/>
      <c r="DE3713" s="130"/>
      <c r="DF3713" s="130"/>
      <c r="DG3713" s="130"/>
      <c r="DH3713" s="130"/>
      <c r="DI3713" s="130"/>
      <c r="DJ3713" s="130"/>
      <c r="DK3713" s="130"/>
      <c r="DL3713" s="130"/>
      <c r="DM3713" s="130"/>
      <c r="DN3713" s="130"/>
      <c r="DO3713" s="130"/>
      <c r="DP3713" s="130"/>
      <c r="DQ3713" s="130"/>
      <c r="DR3713" s="130"/>
      <c r="DS3713" s="130"/>
      <c r="DT3713" s="130"/>
      <c r="DU3713" s="130"/>
      <c r="DV3713" s="130"/>
      <c r="DW3713" s="130"/>
      <c r="DX3713" s="130"/>
      <c r="DY3713" s="130"/>
      <c r="DZ3713" s="130"/>
      <c r="EA3713" s="130"/>
      <c r="EB3713" s="130"/>
      <c r="EC3713" s="130"/>
      <c r="ED3713" s="130"/>
      <c r="EE3713" s="130"/>
      <c r="EF3713" s="130"/>
      <c r="EG3713" s="130"/>
      <c r="EH3713" s="130"/>
      <c r="EI3713" s="130"/>
      <c r="EJ3713" s="130"/>
      <c r="EK3713" s="130"/>
      <c r="EL3713" s="130"/>
      <c r="EM3713" s="130"/>
      <c r="EN3713" s="130"/>
      <c r="EO3713" s="130"/>
      <c r="EP3713" s="130"/>
      <c r="EQ3713" s="130"/>
      <c r="ER3713" s="130"/>
      <c r="ES3713" s="130"/>
      <c r="ET3713" s="130"/>
      <c r="EU3713" s="130"/>
      <c r="EV3713" s="130"/>
      <c r="EW3713" s="130"/>
      <c r="EX3713" s="130"/>
      <c r="EY3713" s="130"/>
      <c r="EZ3713" s="130"/>
      <c r="FA3713" s="130"/>
      <c r="FB3713" s="130"/>
      <c r="FC3713" s="130"/>
      <c r="FD3713" s="130"/>
      <c r="FE3713" s="130"/>
      <c r="FF3713" s="130"/>
      <c r="FG3713" s="130"/>
      <c r="FH3713" s="130"/>
      <c r="FI3713" s="130"/>
      <c r="FJ3713" s="130"/>
      <c r="FK3713" s="130"/>
      <c r="FL3713" s="130"/>
      <c r="FM3713" s="130"/>
      <c r="FN3713" s="130"/>
      <c r="FO3713" s="130"/>
      <c r="FP3713" s="130"/>
      <c r="FQ3713" s="130"/>
      <c r="FR3713" s="130"/>
      <c r="FS3713" s="130"/>
      <c r="FT3713" s="130"/>
      <c r="FU3713" s="130"/>
      <c r="FV3713" s="130"/>
      <c r="FW3713" s="130"/>
      <c r="FX3713" s="130"/>
      <c r="FY3713" s="130"/>
      <c r="FZ3713" s="130"/>
      <c r="GA3713" s="130"/>
      <c r="GB3713" s="130"/>
      <c r="GC3713" s="130"/>
      <c r="GD3713" s="130"/>
      <c r="GE3713" s="130"/>
      <c r="GF3713" s="130"/>
      <c r="GG3713" s="130"/>
      <c r="GH3713" s="130"/>
      <c r="GI3713" s="130"/>
      <c r="GJ3713" s="130"/>
      <c r="GK3713" s="130"/>
      <c r="GL3713" s="130"/>
      <c r="GM3713" s="130"/>
      <c r="GN3713" s="130"/>
      <c r="GO3713" s="130"/>
      <c r="GP3713" s="130"/>
      <c r="GQ3713" s="130"/>
      <c r="GR3713" s="130"/>
      <c r="GS3713" s="130"/>
      <c r="GT3713" s="130"/>
      <c r="GU3713" s="130"/>
    </row>
    <row r="3714" spans="1:203" ht="32.15" customHeight="1" x14ac:dyDescent="0.4">
      <c r="A3714" s="163" t="s">
        <v>1315</v>
      </c>
      <c r="B3714" s="163"/>
      <c r="C3714" s="163"/>
      <c r="D3714" s="163"/>
      <c r="E3714" s="163"/>
      <c r="AC3714" s="130"/>
      <c r="AD3714" s="130"/>
      <c r="AE3714" s="130"/>
      <c r="AF3714" s="130"/>
      <c r="AG3714" s="130"/>
      <c r="AH3714" s="130"/>
      <c r="AI3714" s="130"/>
      <c r="AJ3714" s="130"/>
      <c r="AK3714" s="130"/>
      <c r="AL3714" s="130"/>
      <c r="AM3714" s="130"/>
      <c r="AN3714" s="130"/>
      <c r="AO3714" s="130"/>
      <c r="AP3714" s="130"/>
      <c r="AQ3714" s="130"/>
      <c r="AR3714" s="130"/>
      <c r="AS3714" s="130"/>
      <c r="AT3714" s="130"/>
      <c r="AU3714" s="130"/>
      <c r="AV3714" s="130"/>
      <c r="AW3714" s="130"/>
      <c r="AX3714" s="130"/>
      <c r="AY3714" s="130"/>
      <c r="AZ3714" s="130"/>
      <c r="BA3714" s="130"/>
      <c r="BB3714" s="130"/>
      <c r="BC3714" s="130"/>
      <c r="BD3714" s="130"/>
      <c r="BE3714" s="130"/>
      <c r="BF3714" s="130"/>
      <c r="BG3714" s="130"/>
      <c r="BH3714" s="130"/>
      <c r="BI3714" s="130"/>
      <c r="BJ3714" s="130"/>
      <c r="BK3714" s="130"/>
      <c r="BL3714" s="130"/>
      <c r="BM3714" s="130"/>
      <c r="BN3714" s="130"/>
      <c r="BO3714" s="130"/>
      <c r="BP3714" s="130"/>
      <c r="BQ3714" s="130"/>
      <c r="BR3714" s="130"/>
      <c r="BS3714" s="130"/>
      <c r="BT3714" s="130"/>
      <c r="BU3714" s="130"/>
      <c r="BV3714" s="130"/>
      <c r="BW3714" s="130"/>
      <c r="BX3714" s="130"/>
      <c r="BY3714" s="130"/>
      <c r="BZ3714" s="130"/>
      <c r="CA3714" s="130"/>
      <c r="CB3714" s="130"/>
      <c r="CC3714" s="130"/>
      <c r="CD3714" s="130"/>
      <c r="CE3714" s="130"/>
      <c r="CF3714" s="130"/>
      <c r="CG3714" s="130"/>
      <c r="CH3714" s="130"/>
      <c r="CI3714" s="130"/>
      <c r="CJ3714" s="130"/>
      <c r="CK3714" s="130"/>
      <c r="CL3714" s="130"/>
      <c r="CM3714" s="130"/>
      <c r="CN3714" s="130"/>
      <c r="CO3714" s="130"/>
      <c r="CP3714" s="130"/>
      <c r="CQ3714" s="130"/>
      <c r="CR3714" s="130"/>
      <c r="CS3714" s="130"/>
      <c r="CT3714" s="130"/>
      <c r="CU3714" s="130"/>
      <c r="CV3714" s="130"/>
      <c r="CW3714" s="130"/>
      <c r="CX3714" s="130"/>
      <c r="CY3714" s="130"/>
      <c r="CZ3714" s="130"/>
      <c r="DA3714" s="130"/>
      <c r="DB3714" s="130"/>
      <c r="DC3714" s="130"/>
      <c r="DD3714" s="130"/>
      <c r="DE3714" s="130"/>
      <c r="DF3714" s="130"/>
      <c r="DG3714" s="130"/>
      <c r="DH3714" s="130"/>
      <c r="DI3714" s="130"/>
      <c r="DJ3714" s="130"/>
      <c r="DK3714" s="130"/>
      <c r="DL3714" s="130"/>
      <c r="DM3714" s="130"/>
      <c r="DN3714" s="130"/>
      <c r="DO3714" s="130"/>
      <c r="DP3714" s="130"/>
      <c r="DQ3714" s="130"/>
      <c r="DR3714" s="130"/>
      <c r="DS3714" s="130"/>
      <c r="DT3714" s="130"/>
      <c r="DU3714" s="130"/>
      <c r="DV3714" s="130"/>
      <c r="DW3714" s="130"/>
      <c r="DX3714" s="130"/>
      <c r="DY3714" s="130"/>
      <c r="DZ3714" s="130"/>
      <c r="EA3714" s="130"/>
      <c r="EB3714" s="130"/>
      <c r="EC3714" s="130"/>
      <c r="ED3714" s="130"/>
      <c r="EE3714" s="130"/>
      <c r="EF3714" s="130"/>
      <c r="EG3714" s="130"/>
      <c r="EH3714" s="130"/>
      <c r="EI3714" s="130"/>
      <c r="EJ3714" s="130"/>
      <c r="EK3714" s="130"/>
      <c r="EL3714" s="130"/>
      <c r="EM3714" s="130"/>
      <c r="EN3714" s="130"/>
      <c r="EO3714" s="130"/>
      <c r="EP3714" s="130"/>
      <c r="EQ3714" s="130"/>
      <c r="ER3714" s="130"/>
      <c r="ES3714" s="130"/>
      <c r="ET3714" s="130"/>
      <c r="EU3714" s="130"/>
      <c r="EV3714" s="130"/>
      <c r="EW3714" s="130"/>
      <c r="EX3714" s="130"/>
      <c r="EY3714" s="130"/>
      <c r="EZ3714" s="130"/>
      <c r="FA3714" s="130"/>
      <c r="FB3714" s="130"/>
      <c r="FC3714" s="130"/>
      <c r="FD3714" s="130"/>
      <c r="FE3714" s="130"/>
      <c r="FF3714" s="130"/>
      <c r="FG3714" s="130"/>
      <c r="FH3714" s="130"/>
      <c r="FI3714" s="130"/>
      <c r="FJ3714" s="130"/>
      <c r="FK3714" s="130"/>
      <c r="FL3714" s="130"/>
      <c r="FM3714" s="130"/>
      <c r="FN3714" s="130"/>
      <c r="FO3714" s="130"/>
      <c r="FP3714" s="130"/>
      <c r="FQ3714" s="130"/>
      <c r="FR3714" s="130"/>
      <c r="FS3714" s="130"/>
      <c r="FT3714" s="130"/>
      <c r="FU3714" s="130"/>
      <c r="FV3714" s="130"/>
      <c r="FW3714" s="130"/>
      <c r="FX3714" s="130"/>
      <c r="FY3714" s="130"/>
      <c r="FZ3714" s="130"/>
      <c r="GA3714" s="130"/>
      <c r="GB3714" s="130"/>
      <c r="GC3714" s="130"/>
      <c r="GD3714" s="130"/>
      <c r="GE3714" s="130"/>
      <c r="GF3714" s="130"/>
      <c r="GG3714" s="130"/>
      <c r="GH3714" s="130"/>
      <c r="GI3714" s="130"/>
      <c r="GJ3714" s="130"/>
      <c r="GK3714" s="130"/>
      <c r="GL3714" s="130"/>
      <c r="GM3714" s="130"/>
      <c r="GN3714" s="130"/>
      <c r="GO3714" s="130"/>
      <c r="GP3714" s="130"/>
      <c r="GQ3714" s="130"/>
      <c r="GR3714" s="130"/>
      <c r="GS3714" s="130"/>
      <c r="GT3714" s="130"/>
      <c r="GU3714" s="130"/>
    </row>
    <row r="3715" spans="1:203" s="137" customFormat="1" ht="29.25" customHeight="1" x14ac:dyDescent="0.4">
      <c r="A3715" s="165" t="s">
        <v>1316</v>
      </c>
      <c r="B3715" s="165"/>
      <c r="C3715" s="165"/>
      <c r="D3715" s="165"/>
      <c r="E3715" s="165"/>
      <c r="F3715" s="135"/>
      <c r="G3715" s="135"/>
      <c r="H3715" s="135"/>
      <c r="I3715" s="135"/>
      <c r="J3715" s="135"/>
      <c r="K3715" s="135"/>
      <c r="L3715" s="135"/>
      <c r="M3715" s="135"/>
      <c r="N3715" s="135"/>
      <c r="O3715" s="135"/>
      <c r="P3715" s="135"/>
      <c r="Q3715" s="135"/>
      <c r="R3715" s="135"/>
      <c r="S3715" s="135"/>
      <c r="T3715" s="136"/>
      <c r="U3715" s="136"/>
      <c r="V3715" s="136"/>
      <c r="W3715" s="136"/>
      <c r="X3715" s="136"/>
      <c r="Y3715" s="136"/>
      <c r="Z3715" s="136"/>
      <c r="AA3715" s="136"/>
      <c r="AB3715" s="136"/>
      <c r="AC3715" s="136"/>
      <c r="AD3715" s="136"/>
      <c r="AE3715" s="136"/>
      <c r="AF3715" s="136"/>
      <c r="AG3715" s="136"/>
      <c r="AH3715" s="136"/>
      <c r="AI3715" s="136"/>
      <c r="AJ3715" s="136"/>
      <c r="AK3715" s="136"/>
      <c r="AL3715" s="136"/>
      <c r="AM3715" s="136"/>
      <c r="AN3715" s="136"/>
      <c r="AO3715" s="136"/>
      <c r="AP3715" s="136"/>
      <c r="AQ3715" s="136"/>
      <c r="AR3715" s="136"/>
      <c r="AS3715" s="136"/>
      <c r="AT3715" s="136"/>
      <c r="AU3715" s="136"/>
      <c r="AV3715" s="136"/>
      <c r="AW3715" s="136"/>
      <c r="AX3715" s="136"/>
      <c r="AY3715" s="136"/>
      <c r="AZ3715" s="136"/>
      <c r="BA3715" s="136"/>
      <c r="BB3715" s="136"/>
      <c r="BC3715" s="136"/>
      <c r="BD3715" s="136"/>
      <c r="BE3715" s="136"/>
      <c r="BF3715" s="136"/>
      <c r="BG3715" s="136"/>
      <c r="BH3715" s="136"/>
      <c r="BI3715" s="136"/>
      <c r="BJ3715" s="136"/>
      <c r="BK3715" s="136"/>
      <c r="BL3715" s="136"/>
      <c r="BM3715" s="136"/>
      <c r="BN3715" s="136"/>
      <c r="BO3715" s="136"/>
    </row>
    <row r="3716" spans="1:203" s="137" customFormat="1" ht="16" customHeight="1" x14ac:dyDescent="0.4">
      <c r="A3716" s="165" t="s">
        <v>1317</v>
      </c>
      <c r="B3716" s="165"/>
      <c r="C3716" s="165"/>
      <c r="D3716" s="165"/>
      <c r="E3716" s="165"/>
      <c r="F3716" s="135"/>
      <c r="G3716" s="135"/>
      <c r="H3716" s="135"/>
      <c r="I3716" s="135"/>
      <c r="J3716" s="135"/>
      <c r="K3716" s="135"/>
      <c r="L3716" s="135"/>
      <c r="M3716" s="135"/>
      <c r="N3716" s="135"/>
      <c r="O3716" s="135"/>
      <c r="P3716" s="135"/>
      <c r="Q3716" s="135"/>
      <c r="R3716" s="135"/>
      <c r="S3716" s="135"/>
      <c r="T3716" s="136"/>
      <c r="U3716" s="136"/>
      <c r="V3716" s="136"/>
      <c r="W3716" s="136"/>
      <c r="X3716" s="136"/>
      <c r="Y3716" s="136"/>
      <c r="Z3716" s="136"/>
      <c r="AA3716" s="136"/>
      <c r="AB3716" s="136"/>
      <c r="AC3716" s="136"/>
      <c r="AD3716" s="136"/>
      <c r="AE3716" s="136"/>
      <c r="AF3716" s="136"/>
      <c r="AG3716" s="136"/>
      <c r="AH3716" s="136"/>
      <c r="AI3716" s="136"/>
      <c r="AJ3716" s="136"/>
      <c r="AK3716" s="136"/>
      <c r="AL3716" s="136"/>
      <c r="AM3716" s="136"/>
      <c r="AN3716" s="136"/>
      <c r="AO3716" s="136"/>
      <c r="AP3716" s="136"/>
      <c r="AQ3716" s="136"/>
      <c r="AR3716" s="136"/>
      <c r="AS3716" s="136"/>
      <c r="AT3716" s="136"/>
      <c r="AU3716" s="136"/>
      <c r="AV3716" s="136"/>
      <c r="AW3716" s="136"/>
      <c r="AX3716" s="136"/>
      <c r="AY3716" s="136"/>
      <c r="AZ3716" s="136"/>
      <c r="BA3716" s="136"/>
      <c r="BB3716" s="136"/>
      <c r="BC3716" s="136"/>
      <c r="BD3716" s="136"/>
      <c r="BE3716" s="136"/>
      <c r="BF3716" s="136"/>
      <c r="BG3716" s="136"/>
      <c r="BH3716" s="136"/>
      <c r="BI3716" s="136"/>
      <c r="BJ3716" s="136"/>
      <c r="BK3716" s="136"/>
      <c r="BL3716" s="136"/>
      <c r="BM3716" s="136"/>
      <c r="BN3716" s="136"/>
      <c r="BO3716" s="136"/>
    </row>
    <row r="3717" spans="1:203" s="137" customFormat="1" ht="16" customHeight="1" x14ac:dyDescent="0.4">
      <c r="A3717" s="165" t="s">
        <v>1318</v>
      </c>
      <c r="B3717" s="165"/>
      <c r="C3717" s="165"/>
      <c r="D3717" s="165"/>
      <c r="E3717" s="165"/>
      <c r="F3717" s="135"/>
      <c r="G3717" s="135"/>
      <c r="H3717" s="135"/>
      <c r="I3717" s="135"/>
      <c r="J3717" s="135"/>
      <c r="K3717" s="135"/>
      <c r="L3717" s="135"/>
      <c r="M3717" s="135"/>
      <c r="N3717" s="135"/>
      <c r="O3717" s="135"/>
      <c r="P3717" s="135"/>
      <c r="Q3717" s="135"/>
      <c r="R3717" s="135"/>
      <c r="S3717" s="135"/>
      <c r="T3717" s="136"/>
      <c r="U3717" s="136"/>
      <c r="V3717" s="136"/>
      <c r="W3717" s="136"/>
      <c r="X3717" s="136"/>
      <c r="Y3717" s="136"/>
      <c r="Z3717" s="136"/>
      <c r="AA3717" s="136"/>
      <c r="AB3717" s="136"/>
      <c r="AC3717" s="136"/>
      <c r="AD3717" s="136"/>
      <c r="AE3717" s="136"/>
      <c r="AF3717" s="136"/>
      <c r="AG3717" s="136"/>
      <c r="AH3717" s="136"/>
      <c r="AI3717" s="136"/>
      <c r="AJ3717" s="136"/>
      <c r="AK3717" s="136"/>
      <c r="AL3717" s="136"/>
      <c r="AM3717" s="136"/>
      <c r="AN3717" s="136"/>
      <c r="AO3717" s="136"/>
      <c r="AP3717" s="136"/>
      <c r="AQ3717" s="136"/>
      <c r="AR3717" s="136"/>
      <c r="AS3717" s="136"/>
      <c r="AT3717" s="136"/>
      <c r="AU3717" s="136"/>
      <c r="AV3717" s="136"/>
      <c r="AW3717" s="136"/>
      <c r="AX3717" s="136"/>
      <c r="AY3717" s="136"/>
      <c r="AZ3717" s="136"/>
      <c r="BA3717" s="136"/>
      <c r="BB3717" s="136"/>
      <c r="BC3717" s="136"/>
      <c r="BD3717" s="136"/>
      <c r="BE3717" s="136"/>
      <c r="BF3717" s="136"/>
      <c r="BG3717" s="136"/>
      <c r="BH3717" s="136"/>
      <c r="BI3717" s="136"/>
      <c r="BJ3717" s="136"/>
      <c r="BK3717" s="136"/>
      <c r="BL3717" s="136"/>
      <c r="BM3717" s="136"/>
      <c r="BN3717" s="136"/>
      <c r="BO3717" s="136"/>
    </row>
    <row r="3718" spans="1:203" s="137" customFormat="1" ht="16" customHeight="1" x14ac:dyDescent="0.4">
      <c r="A3718" s="165" t="s">
        <v>1319</v>
      </c>
      <c r="B3718" s="165"/>
      <c r="C3718" s="165"/>
      <c r="D3718" s="165"/>
      <c r="E3718" s="165"/>
      <c r="F3718" s="135"/>
      <c r="G3718" s="135"/>
      <c r="H3718" s="135"/>
      <c r="I3718" s="135"/>
      <c r="J3718" s="135"/>
      <c r="K3718" s="135"/>
      <c r="L3718" s="135"/>
      <c r="M3718" s="135"/>
      <c r="N3718" s="135"/>
      <c r="O3718" s="135"/>
      <c r="P3718" s="135"/>
      <c r="Q3718" s="135"/>
      <c r="R3718" s="135"/>
      <c r="S3718" s="135"/>
      <c r="T3718" s="136"/>
      <c r="U3718" s="136"/>
      <c r="V3718" s="136"/>
      <c r="W3718" s="136"/>
      <c r="X3718" s="136"/>
      <c r="Y3718" s="136"/>
      <c r="Z3718" s="136"/>
      <c r="AA3718" s="136"/>
      <c r="AB3718" s="136"/>
      <c r="AC3718" s="136"/>
      <c r="AD3718" s="136"/>
      <c r="AE3718" s="136"/>
      <c r="AF3718" s="136"/>
      <c r="AG3718" s="136"/>
      <c r="AH3718" s="136"/>
      <c r="AI3718" s="136"/>
      <c r="AJ3718" s="136"/>
      <c r="AK3718" s="136"/>
      <c r="AL3718" s="136"/>
      <c r="AM3718" s="136"/>
      <c r="AN3718" s="136"/>
      <c r="AO3718" s="136"/>
      <c r="AP3718" s="136"/>
      <c r="AQ3718" s="136"/>
      <c r="AR3718" s="136"/>
      <c r="AS3718" s="136"/>
      <c r="AT3718" s="136"/>
      <c r="AU3718" s="136"/>
      <c r="AV3718" s="136"/>
      <c r="AW3718" s="136"/>
      <c r="AX3718" s="136"/>
      <c r="AY3718" s="136"/>
      <c r="AZ3718" s="136"/>
      <c r="BA3718" s="136"/>
      <c r="BB3718" s="136"/>
      <c r="BC3718" s="136"/>
      <c r="BD3718" s="136"/>
      <c r="BE3718" s="136"/>
      <c r="BF3718" s="136"/>
      <c r="BG3718" s="136"/>
      <c r="BH3718" s="136"/>
      <c r="BI3718" s="136"/>
      <c r="BJ3718" s="136"/>
      <c r="BK3718" s="136"/>
      <c r="BL3718" s="136"/>
      <c r="BM3718" s="136"/>
      <c r="BN3718" s="136"/>
      <c r="BO3718" s="136"/>
    </row>
    <row r="3719" spans="1:203" s="132" customFormat="1" ht="40.5" customHeight="1" x14ac:dyDescent="0.4">
      <c r="A3719" s="166" t="s">
        <v>1320</v>
      </c>
      <c r="B3719" s="166"/>
      <c r="C3719" s="166"/>
      <c r="D3719" s="166"/>
      <c r="E3719" s="166"/>
      <c r="F3719" s="131"/>
    </row>
    <row r="3720" spans="1:203" s="132" customFormat="1" ht="27.75" customHeight="1" x14ac:dyDescent="0.4">
      <c r="A3720" s="163" t="s">
        <v>1321</v>
      </c>
      <c r="B3720" s="163"/>
      <c r="C3720" s="163"/>
      <c r="D3720" s="163"/>
      <c r="E3720" s="163"/>
      <c r="F3720" s="131"/>
    </row>
    <row r="3721" spans="1:203" s="132" customFormat="1" ht="63" customHeight="1" x14ac:dyDescent="0.4">
      <c r="A3721" s="166" t="s">
        <v>1322</v>
      </c>
      <c r="B3721" s="167"/>
      <c r="C3721" s="167"/>
      <c r="D3721" s="167"/>
      <c r="E3721" s="168"/>
      <c r="F3721" s="131"/>
    </row>
    <row r="3722" spans="1:203" ht="45.75" customHeight="1" x14ac:dyDescent="0.4">
      <c r="A3722" s="163" t="s">
        <v>1323</v>
      </c>
      <c r="B3722" s="163"/>
      <c r="C3722" s="163"/>
      <c r="D3722" s="163"/>
      <c r="E3722" s="163"/>
      <c r="F3722" s="138"/>
      <c r="G3722" s="138"/>
      <c r="H3722" s="139"/>
      <c r="I3722" s="138"/>
      <c r="J3722" s="138"/>
      <c r="K3722" s="138"/>
      <c r="L3722" s="138"/>
      <c r="M3722" s="138"/>
      <c r="N3722" s="139"/>
      <c r="O3722" s="138"/>
      <c r="P3722" s="138"/>
      <c r="Q3722" s="140"/>
      <c r="R3722" s="140"/>
      <c r="S3722" s="140"/>
      <c r="T3722" s="140"/>
      <c r="U3722" s="140"/>
      <c r="V3722" s="140"/>
      <c r="W3722" s="140"/>
      <c r="X3722" s="140"/>
      <c r="Y3722" s="140"/>
      <c r="Z3722" s="140"/>
      <c r="AA3722" s="140"/>
      <c r="AB3722" s="140"/>
      <c r="AC3722" s="141"/>
      <c r="AD3722" s="141"/>
      <c r="AE3722" s="141"/>
      <c r="AF3722" s="141"/>
      <c r="AG3722" s="141"/>
      <c r="AH3722" s="141"/>
      <c r="AI3722" s="141"/>
      <c r="AJ3722" s="141"/>
      <c r="AK3722" s="141"/>
      <c r="AL3722" s="141"/>
      <c r="AM3722" s="141"/>
      <c r="AN3722" s="141"/>
      <c r="AO3722" s="141"/>
      <c r="AP3722" s="141"/>
      <c r="AQ3722" s="141"/>
      <c r="AR3722" s="141"/>
      <c r="AS3722" s="141"/>
      <c r="AT3722" s="141"/>
      <c r="AU3722" s="141"/>
      <c r="AV3722" s="141"/>
      <c r="AW3722" s="141"/>
      <c r="AX3722" s="141"/>
      <c r="AY3722" s="141"/>
      <c r="AZ3722" s="141"/>
      <c r="BA3722" s="141"/>
      <c r="BB3722" s="141"/>
      <c r="BC3722" s="141"/>
      <c r="BD3722" s="141"/>
      <c r="BE3722" s="141"/>
      <c r="BF3722" s="141"/>
      <c r="BG3722" s="141"/>
      <c r="BH3722" s="141"/>
      <c r="BI3722" s="141"/>
      <c r="BJ3722" s="141"/>
      <c r="BK3722" s="141"/>
      <c r="BL3722" s="141"/>
      <c r="BM3722" s="141"/>
      <c r="BN3722" s="141"/>
      <c r="BO3722" s="141"/>
      <c r="BP3722" s="130"/>
      <c r="BQ3722" s="130"/>
      <c r="BR3722" s="130"/>
      <c r="BS3722" s="130"/>
      <c r="BT3722" s="130"/>
      <c r="BU3722" s="130"/>
      <c r="BV3722" s="130"/>
      <c r="BW3722" s="130"/>
      <c r="BX3722" s="130"/>
      <c r="BY3722" s="130"/>
      <c r="BZ3722" s="130"/>
      <c r="CA3722" s="130"/>
      <c r="CB3722" s="130"/>
      <c r="CC3722" s="130"/>
      <c r="CD3722" s="130"/>
      <c r="CE3722" s="130"/>
      <c r="CF3722" s="130"/>
      <c r="CG3722" s="130"/>
      <c r="CH3722" s="130"/>
      <c r="CI3722" s="130"/>
      <c r="CJ3722" s="130"/>
      <c r="CK3722" s="130"/>
      <c r="CL3722" s="130"/>
      <c r="CM3722" s="130"/>
      <c r="CN3722" s="130"/>
      <c r="CO3722" s="130"/>
      <c r="CP3722" s="130"/>
      <c r="CQ3722" s="130"/>
      <c r="CR3722" s="130"/>
      <c r="CS3722" s="130"/>
      <c r="CT3722" s="130"/>
      <c r="CU3722" s="130"/>
      <c r="CV3722" s="130"/>
      <c r="CW3722" s="130"/>
      <c r="CX3722" s="130"/>
      <c r="CY3722" s="130"/>
      <c r="CZ3722" s="130"/>
      <c r="DA3722" s="130"/>
      <c r="DB3722" s="130"/>
      <c r="DC3722" s="130"/>
      <c r="DD3722" s="130"/>
      <c r="DE3722" s="130"/>
      <c r="DF3722" s="130"/>
      <c r="DG3722" s="130"/>
      <c r="DH3722" s="130"/>
      <c r="DI3722" s="130"/>
      <c r="DJ3722" s="130"/>
      <c r="DK3722" s="130"/>
      <c r="DL3722" s="130"/>
      <c r="DM3722" s="130"/>
      <c r="DN3722" s="130"/>
      <c r="DO3722" s="130"/>
      <c r="DP3722" s="130"/>
      <c r="DQ3722" s="130"/>
      <c r="DR3722" s="130"/>
      <c r="DS3722" s="130"/>
      <c r="DT3722" s="130"/>
      <c r="DU3722" s="130"/>
      <c r="DV3722" s="130"/>
      <c r="DW3722" s="130"/>
      <c r="DX3722" s="130"/>
      <c r="DY3722" s="130"/>
      <c r="DZ3722" s="130"/>
      <c r="EA3722" s="130"/>
      <c r="EB3722" s="130"/>
      <c r="EC3722" s="130"/>
      <c r="ED3722" s="130"/>
      <c r="EE3722" s="130"/>
      <c r="EF3722" s="130"/>
      <c r="EG3722" s="130"/>
      <c r="EH3722" s="130"/>
      <c r="EI3722" s="130"/>
      <c r="EJ3722" s="130"/>
      <c r="EK3722" s="130"/>
      <c r="EL3722" s="130"/>
      <c r="EM3722" s="130"/>
      <c r="EN3722" s="130"/>
      <c r="EO3722" s="130"/>
      <c r="EP3722" s="130"/>
      <c r="EQ3722" s="130"/>
      <c r="ER3722" s="130"/>
      <c r="ES3722" s="130"/>
      <c r="ET3722" s="130"/>
      <c r="EU3722" s="130"/>
      <c r="EV3722" s="130"/>
      <c r="EW3722" s="130"/>
      <c r="EX3722" s="130"/>
      <c r="EY3722" s="130"/>
      <c r="EZ3722" s="130"/>
      <c r="FA3722" s="130"/>
      <c r="FB3722" s="130"/>
      <c r="FC3722" s="130"/>
      <c r="FD3722" s="130"/>
      <c r="FE3722" s="130"/>
      <c r="FF3722" s="130"/>
      <c r="FG3722" s="130"/>
      <c r="FH3722" s="130"/>
      <c r="FI3722" s="130"/>
      <c r="FJ3722" s="130"/>
      <c r="FK3722" s="130"/>
      <c r="FL3722" s="130"/>
      <c r="FM3722" s="130"/>
      <c r="FN3722" s="130"/>
      <c r="FO3722" s="130"/>
      <c r="FP3722" s="130"/>
      <c r="FQ3722" s="130"/>
      <c r="FR3722" s="130"/>
      <c r="FS3722" s="130"/>
      <c r="FT3722" s="130"/>
      <c r="FU3722" s="130"/>
      <c r="FV3722" s="130"/>
      <c r="FW3722" s="130"/>
      <c r="FX3722" s="130"/>
      <c r="FY3722" s="130"/>
      <c r="FZ3722" s="130"/>
      <c r="GA3722" s="130"/>
      <c r="GB3722" s="130"/>
      <c r="GC3722" s="130"/>
      <c r="GD3722" s="130"/>
      <c r="GE3722" s="130"/>
      <c r="GF3722" s="130"/>
      <c r="GG3722" s="130"/>
      <c r="GH3722" s="130"/>
      <c r="GI3722" s="130"/>
      <c r="GJ3722" s="130"/>
      <c r="GK3722" s="130"/>
      <c r="GL3722" s="130"/>
      <c r="GM3722" s="130"/>
      <c r="GN3722" s="130"/>
      <c r="GO3722" s="130"/>
      <c r="GP3722" s="130"/>
      <c r="GQ3722" s="130"/>
      <c r="GR3722" s="130"/>
      <c r="GS3722" s="130"/>
      <c r="GT3722" s="130"/>
      <c r="GU3722" s="130"/>
    </row>
    <row r="3723" spans="1:203" s="132" customFormat="1" ht="63" customHeight="1" x14ac:dyDescent="0.4">
      <c r="A3723" s="166" t="s">
        <v>1324</v>
      </c>
      <c r="B3723" s="166"/>
      <c r="C3723" s="166"/>
      <c r="D3723" s="166"/>
      <c r="E3723" s="166"/>
      <c r="F3723" s="131"/>
    </row>
    <row r="3724" spans="1:203" s="132" customFormat="1" ht="40.5" customHeight="1" x14ac:dyDescent="0.4">
      <c r="A3724" s="166" t="s">
        <v>1325</v>
      </c>
      <c r="B3724" s="166"/>
      <c r="C3724" s="166"/>
      <c r="D3724" s="166"/>
      <c r="E3724" s="166"/>
      <c r="F3724" s="131"/>
    </row>
    <row r="3725" spans="1:203" s="143" customFormat="1" ht="57.75" customHeight="1" x14ac:dyDescent="0.4">
      <c r="A3725" s="166" t="s">
        <v>1326</v>
      </c>
      <c r="B3725" s="166"/>
      <c r="C3725" s="166"/>
      <c r="D3725" s="166"/>
      <c r="E3725" s="166"/>
      <c r="F3725" s="142"/>
    </row>
    <row r="3726" spans="1:203" s="143" customFormat="1" ht="57.75" customHeight="1" x14ac:dyDescent="0.4">
      <c r="A3726" s="163" t="s">
        <v>1327</v>
      </c>
      <c r="B3726" s="163"/>
      <c r="C3726" s="163"/>
      <c r="D3726" s="163"/>
      <c r="E3726" s="163"/>
      <c r="F3726" s="142"/>
    </row>
    <row r="3727" spans="1:203" s="132" customFormat="1" ht="75.75" customHeight="1" x14ac:dyDescent="0.4">
      <c r="A3727" s="166" t="s">
        <v>1328</v>
      </c>
      <c r="B3727" s="167"/>
      <c r="C3727" s="167"/>
      <c r="D3727" s="167"/>
      <c r="E3727" s="168"/>
      <c r="F3727" s="131"/>
    </row>
    <row r="3728" spans="1:203" ht="15.45" x14ac:dyDescent="0.4">
      <c r="A3728" s="144"/>
      <c r="B3728" s="144"/>
      <c r="C3728" s="144"/>
      <c r="D3728" s="144"/>
      <c r="E3728" s="145"/>
      <c r="F3728" s="43"/>
      <c r="K3728" s="43"/>
      <c r="L3728" s="43"/>
      <c r="M3728" s="43"/>
      <c r="O3728" s="43"/>
      <c r="P3728" s="43"/>
      <c r="AC3728" s="130"/>
      <c r="AD3728" s="130"/>
      <c r="AE3728" s="130"/>
      <c r="AF3728" s="130"/>
      <c r="AG3728" s="130"/>
      <c r="AH3728" s="130"/>
      <c r="AI3728" s="130"/>
      <c r="AJ3728" s="130"/>
      <c r="AK3728" s="130"/>
      <c r="AL3728" s="130"/>
      <c r="AM3728" s="130"/>
      <c r="AN3728" s="130"/>
      <c r="AO3728" s="130"/>
      <c r="AP3728" s="130"/>
      <c r="AQ3728" s="130"/>
      <c r="AR3728" s="130"/>
      <c r="AS3728" s="130"/>
      <c r="AT3728" s="130"/>
      <c r="AU3728" s="130"/>
      <c r="AV3728" s="130"/>
      <c r="AW3728" s="130"/>
      <c r="AX3728" s="130"/>
      <c r="AY3728" s="130"/>
      <c r="AZ3728" s="130"/>
      <c r="BA3728" s="130"/>
      <c r="BB3728" s="130"/>
      <c r="BC3728" s="130"/>
      <c r="BD3728" s="130"/>
      <c r="BE3728" s="130"/>
      <c r="BF3728" s="130"/>
      <c r="BG3728" s="130"/>
      <c r="BH3728" s="130"/>
      <c r="BI3728" s="130"/>
      <c r="BJ3728" s="130"/>
      <c r="BK3728" s="130"/>
      <c r="BL3728" s="130"/>
      <c r="BM3728" s="130"/>
      <c r="BN3728" s="130"/>
      <c r="BO3728" s="130"/>
      <c r="BP3728" s="130"/>
      <c r="BQ3728" s="130"/>
      <c r="BR3728" s="130"/>
      <c r="BS3728" s="130"/>
      <c r="BT3728" s="130"/>
      <c r="BU3728" s="130"/>
      <c r="BV3728" s="130"/>
      <c r="BW3728" s="130"/>
      <c r="BX3728" s="130"/>
      <c r="BY3728" s="130"/>
      <c r="BZ3728" s="130"/>
      <c r="CA3728" s="130"/>
      <c r="CB3728" s="130"/>
      <c r="CC3728" s="130"/>
      <c r="CD3728" s="130"/>
      <c r="CE3728" s="130"/>
      <c r="CF3728" s="130"/>
      <c r="CG3728" s="130"/>
      <c r="CH3728" s="130"/>
      <c r="CI3728" s="130"/>
      <c r="CJ3728" s="130"/>
      <c r="CK3728" s="130"/>
      <c r="CL3728" s="130"/>
      <c r="CM3728" s="130"/>
      <c r="CN3728" s="130"/>
      <c r="CO3728" s="130"/>
      <c r="CP3728" s="130"/>
      <c r="CQ3728" s="130"/>
      <c r="CR3728" s="130"/>
      <c r="CS3728" s="130"/>
      <c r="CT3728" s="130"/>
      <c r="CU3728" s="130"/>
      <c r="CV3728" s="130"/>
      <c r="CW3728" s="130"/>
      <c r="CX3728" s="130"/>
      <c r="CY3728" s="130"/>
      <c r="CZ3728" s="130"/>
      <c r="DA3728" s="130"/>
      <c r="DB3728" s="130"/>
      <c r="DC3728" s="130"/>
      <c r="DD3728" s="130"/>
      <c r="DE3728" s="130"/>
      <c r="DF3728" s="130"/>
      <c r="DG3728" s="130"/>
      <c r="DH3728" s="130"/>
      <c r="DI3728" s="130"/>
      <c r="DJ3728" s="130"/>
      <c r="DK3728" s="130"/>
      <c r="DL3728" s="130"/>
      <c r="DM3728" s="130"/>
      <c r="DN3728" s="130"/>
      <c r="DO3728" s="130"/>
      <c r="DP3728" s="130"/>
      <c r="DQ3728" s="130"/>
      <c r="DR3728" s="130"/>
      <c r="DS3728" s="130"/>
      <c r="DT3728" s="130"/>
      <c r="DU3728" s="130"/>
      <c r="DV3728" s="130"/>
      <c r="DW3728" s="130"/>
      <c r="DX3728" s="130"/>
      <c r="DY3728" s="130"/>
      <c r="DZ3728" s="130"/>
      <c r="EA3728" s="130"/>
      <c r="EB3728" s="130"/>
      <c r="EC3728" s="130"/>
      <c r="ED3728" s="130"/>
      <c r="EE3728" s="130"/>
      <c r="EF3728" s="130"/>
      <c r="EG3728" s="130"/>
      <c r="EH3728" s="130"/>
      <c r="EI3728" s="130"/>
      <c r="EJ3728" s="130"/>
      <c r="EK3728" s="130"/>
      <c r="EL3728" s="130"/>
      <c r="EM3728" s="130"/>
      <c r="EN3728" s="130"/>
      <c r="EO3728" s="130"/>
      <c r="EP3728" s="130"/>
      <c r="EQ3728" s="130"/>
      <c r="ER3728" s="130"/>
      <c r="ES3728" s="130"/>
      <c r="ET3728" s="130"/>
      <c r="EU3728" s="130"/>
      <c r="EV3728" s="130"/>
      <c r="EW3728" s="130"/>
      <c r="EX3728" s="130"/>
      <c r="EY3728" s="130"/>
      <c r="EZ3728" s="130"/>
      <c r="FA3728" s="130"/>
      <c r="FB3728" s="130"/>
      <c r="FC3728" s="130"/>
      <c r="FD3728" s="130"/>
      <c r="FE3728" s="130"/>
      <c r="FF3728" s="130"/>
      <c r="FG3728" s="130"/>
      <c r="FH3728" s="130"/>
      <c r="FI3728" s="130"/>
      <c r="FJ3728" s="130"/>
      <c r="FK3728" s="130"/>
      <c r="FL3728" s="130"/>
      <c r="FM3728" s="130"/>
      <c r="FN3728" s="130"/>
      <c r="FO3728" s="130"/>
      <c r="FP3728" s="130"/>
      <c r="FQ3728" s="130"/>
      <c r="FR3728" s="130"/>
      <c r="FS3728" s="130"/>
      <c r="FT3728" s="130"/>
      <c r="FU3728" s="130"/>
      <c r="FV3728" s="130"/>
      <c r="FW3728" s="130"/>
      <c r="FX3728" s="130"/>
      <c r="FY3728" s="130"/>
      <c r="FZ3728" s="130"/>
      <c r="GA3728" s="130"/>
      <c r="GB3728" s="130"/>
      <c r="GC3728" s="130"/>
      <c r="GD3728" s="130"/>
      <c r="GE3728" s="130"/>
      <c r="GF3728" s="130"/>
      <c r="GG3728" s="130"/>
      <c r="GH3728" s="130"/>
      <c r="GI3728" s="130"/>
      <c r="GJ3728" s="130"/>
      <c r="GK3728" s="130"/>
      <c r="GL3728" s="130"/>
      <c r="GM3728" s="130"/>
      <c r="GN3728" s="130"/>
      <c r="GO3728" s="130"/>
      <c r="GP3728" s="130"/>
      <c r="GQ3728" s="130"/>
      <c r="GR3728" s="130"/>
      <c r="GS3728" s="130"/>
      <c r="GT3728" s="130"/>
      <c r="GU3728" s="130"/>
    </row>
  </sheetData>
  <autoFilter ref="A11:E3727" xr:uid="{00000000-0009-0000-0000-000000000000}"/>
  <mergeCells count="315">
    <mergeCell ref="A3725:E3725"/>
    <mergeCell ref="A3726:E3726"/>
    <mergeCell ref="A3727:E3727"/>
    <mergeCell ref="A3719:E3719"/>
    <mergeCell ref="A3720:E3720"/>
    <mergeCell ref="A3721:E3721"/>
    <mergeCell ref="A3722:E3722"/>
    <mergeCell ref="A3723:E3723"/>
    <mergeCell ref="A3724:E3724"/>
    <mergeCell ref="A3713:E3713"/>
    <mergeCell ref="A3714:E3714"/>
    <mergeCell ref="A3715:E3715"/>
    <mergeCell ref="A3716:E3716"/>
    <mergeCell ref="A3717:E3717"/>
    <mergeCell ref="A3718:E3718"/>
    <mergeCell ref="A3707:E3707"/>
    <mergeCell ref="A3708:E3708"/>
    <mergeCell ref="A3709:E3709"/>
    <mergeCell ref="A3710:E3710"/>
    <mergeCell ref="A3711:E3711"/>
    <mergeCell ref="A3712:E3712"/>
    <mergeCell ref="A3701:E3701"/>
    <mergeCell ref="A3702:E3702"/>
    <mergeCell ref="A3703:E3703"/>
    <mergeCell ref="A3704:E3704"/>
    <mergeCell ref="A3705:E3705"/>
    <mergeCell ref="A3706:E3706"/>
    <mergeCell ref="A3617:E3617"/>
    <mergeCell ref="A3618:E3618"/>
    <mergeCell ref="A3634:E3634"/>
    <mergeCell ref="A3635:E3635"/>
    <mergeCell ref="A3665:E3665"/>
    <mergeCell ref="A3679:E3679"/>
    <mergeCell ref="A3384:E3384"/>
    <mergeCell ref="A3488:E3488"/>
    <mergeCell ref="A3489:E3489"/>
    <mergeCell ref="A3565:E3565"/>
    <mergeCell ref="A3578:E3578"/>
    <mergeCell ref="A3579:E3579"/>
    <mergeCell ref="A3303:E3303"/>
    <mergeCell ref="A3332:E3332"/>
    <mergeCell ref="A3333:E3333"/>
    <mergeCell ref="A3346:E3346"/>
    <mergeCell ref="A3347:E3347"/>
    <mergeCell ref="A3383:E3383"/>
    <mergeCell ref="A3250:E3250"/>
    <mergeCell ref="A3278:E3278"/>
    <mergeCell ref="A3279:E3279"/>
    <mergeCell ref="A3290:E3290"/>
    <mergeCell ref="A3291:E3291"/>
    <mergeCell ref="A3302:E3302"/>
    <mergeCell ref="A3208:E3208"/>
    <mergeCell ref="A3215:E3215"/>
    <mergeCell ref="A3223:E3223"/>
    <mergeCell ref="A3227:E3227"/>
    <mergeCell ref="A3228:E3228"/>
    <mergeCell ref="A3249:E3249"/>
    <mergeCell ref="A3182:E3182"/>
    <mergeCell ref="A3183:E3183"/>
    <mergeCell ref="A3184:E3184"/>
    <mergeCell ref="A3189:E3189"/>
    <mergeCell ref="A3200:E3200"/>
    <mergeCell ref="A3204:E3204"/>
    <mergeCell ref="A3133:E3133"/>
    <mergeCell ref="A3134:E3134"/>
    <mergeCell ref="A3135:E3135"/>
    <mergeCell ref="A3150:E3150"/>
    <mergeCell ref="A3151:E3151"/>
    <mergeCell ref="A3166:E3166"/>
    <mergeCell ref="A3078:E3078"/>
    <mergeCell ref="A3094:E3094"/>
    <mergeCell ref="A3095:E3095"/>
    <mergeCell ref="A3114:E3114"/>
    <mergeCell ref="A3115:E3115"/>
    <mergeCell ref="A3130:E3130"/>
    <mergeCell ref="A2980:E2980"/>
    <mergeCell ref="A2996:E2996"/>
    <mergeCell ref="A3026:E3026"/>
    <mergeCell ref="A3027:E3027"/>
    <mergeCell ref="A3037:E3037"/>
    <mergeCell ref="A3049:E3049"/>
    <mergeCell ref="A2813:E2813"/>
    <mergeCell ref="A2854:E2854"/>
    <mergeCell ref="A2855:E2855"/>
    <mergeCell ref="A2867:E2867"/>
    <mergeCell ref="A2868:E2868"/>
    <mergeCell ref="A2890:E2890"/>
    <mergeCell ref="A2768:E2768"/>
    <mergeCell ref="A2788:E2788"/>
    <mergeCell ref="A2789:E2789"/>
    <mergeCell ref="A2800:E2800"/>
    <mergeCell ref="A2801:E2801"/>
    <mergeCell ref="A2812:E2812"/>
    <mergeCell ref="A2709:E2709"/>
    <mergeCell ref="A2729:E2729"/>
    <mergeCell ref="A2730:E2730"/>
    <mergeCell ref="A2742:E2742"/>
    <mergeCell ref="A2743:E2743"/>
    <mergeCell ref="A2757:E2757"/>
    <mergeCell ref="A2665:E2665"/>
    <mergeCell ref="A2666:E2666"/>
    <mergeCell ref="A2679:E2679"/>
    <mergeCell ref="A2680:E2680"/>
    <mergeCell ref="A2694:E2694"/>
    <mergeCell ref="A2695:E2695"/>
    <mergeCell ref="A2596:E2596"/>
    <mergeCell ref="A2619:E2619"/>
    <mergeCell ref="A2620:E2620"/>
    <mergeCell ref="A2621:E2621"/>
    <mergeCell ref="A2637:E2637"/>
    <mergeCell ref="A2650:E2650"/>
    <mergeCell ref="A2499:E2499"/>
    <mergeCell ref="A2515:E2515"/>
    <mergeCell ref="A2557:E2557"/>
    <mergeCell ref="A2573:E2573"/>
    <mergeCell ref="A2574:E2574"/>
    <mergeCell ref="A2575:E2575"/>
    <mergeCell ref="A2448:E2448"/>
    <mergeCell ref="A2463:E2463"/>
    <mergeCell ref="A2464:E2464"/>
    <mergeCell ref="A2490:E2490"/>
    <mergeCell ref="A2491:E2491"/>
    <mergeCell ref="A2498:E2498"/>
    <mergeCell ref="A2314:E2314"/>
    <mergeCell ref="A2334:E2334"/>
    <mergeCell ref="A2354:E2354"/>
    <mergeCell ref="A2355:E2355"/>
    <mergeCell ref="A2383:E2383"/>
    <mergeCell ref="A2432:E2432"/>
    <mergeCell ref="A2177:E2177"/>
    <mergeCell ref="A2255:E2255"/>
    <mergeCell ref="A2271:E2271"/>
    <mergeCell ref="A2305:E2305"/>
    <mergeCell ref="A2306:E2306"/>
    <mergeCell ref="A2313:E2313"/>
    <mergeCell ref="A2123:E2123"/>
    <mergeCell ref="A2124:E2124"/>
    <mergeCell ref="A2137:E2137"/>
    <mergeCell ref="A2138:E2138"/>
    <mergeCell ref="A2152:E2152"/>
    <mergeCell ref="A2163:E2163"/>
    <mergeCell ref="A2075:E2075"/>
    <mergeCell ref="A2076:E2076"/>
    <mergeCell ref="A2091:E2091"/>
    <mergeCell ref="A2092:E2092"/>
    <mergeCell ref="A2107:E2107"/>
    <mergeCell ref="A2108:E2108"/>
    <mergeCell ref="A1931:E1931"/>
    <mergeCell ref="A1932:E1932"/>
    <mergeCell ref="A1954:E1954"/>
    <mergeCell ref="A1975:E1975"/>
    <mergeCell ref="A2027:E2027"/>
    <mergeCell ref="A2043:E2043"/>
    <mergeCell ref="A1812:E1812"/>
    <mergeCell ref="A1833:E1833"/>
    <mergeCell ref="A1877:E1877"/>
    <mergeCell ref="A1893:E1893"/>
    <mergeCell ref="A1923:E1923"/>
    <mergeCell ref="A1924:E1924"/>
    <mergeCell ref="A1747:E1747"/>
    <mergeCell ref="A1763:E1763"/>
    <mergeCell ref="A1781:E1781"/>
    <mergeCell ref="A1782:E1782"/>
    <mergeCell ref="A1789:E1789"/>
    <mergeCell ref="A1790:E1790"/>
    <mergeCell ref="A1643:E1643"/>
    <mergeCell ref="A1659:E1659"/>
    <mergeCell ref="A1682:E1682"/>
    <mergeCell ref="A1683:E1683"/>
    <mergeCell ref="A1708:E1708"/>
    <mergeCell ref="A1728:E1728"/>
    <mergeCell ref="A1570:E1570"/>
    <mergeCell ref="A1575:E1575"/>
    <mergeCell ref="A1576:E1576"/>
    <mergeCell ref="A1585:E1585"/>
    <mergeCell ref="A1599:E1599"/>
    <mergeCell ref="A1610:E1610"/>
    <mergeCell ref="A1462:E1462"/>
    <mergeCell ref="A1468:E1468"/>
    <mergeCell ref="A1489:E1489"/>
    <mergeCell ref="A1505:E1505"/>
    <mergeCell ref="A1506:E1506"/>
    <mergeCell ref="A1536:E1536"/>
    <mergeCell ref="A1414:E1414"/>
    <mergeCell ref="A1415:E1415"/>
    <mergeCell ref="A1421:E1421"/>
    <mergeCell ref="A1422:E1422"/>
    <mergeCell ref="A1442:E1442"/>
    <mergeCell ref="A1461:E1461"/>
    <mergeCell ref="A1288:E1288"/>
    <mergeCell ref="A1303:E1303"/>
    <mergeCell ref="A1304:E1304"/>
    <mergeCell ref="A1314:E1314"/>
    <mergeCell ref="A1366:E1366"/>
    <mergeCell ref="A1382:E1382"/>
    <mergeCell ref="A1160:E1160"/>
    <mergeCell ref="A1161:E1161"/>
    <mergeCell ref="A1167:E1167"/>
    <mergeCell ref="A1228:E1228"/>
    <mergeCell ref="A1275:E1275"/>
    <mergeCell ref="A1276:E1276"/>
    <mergeCell ref="A1101:E1101"/>
    <mergeCell ref="A1111:E1111"/>
    <mergeCell ref="A1112:E1112"/>
    <mergeCell ref="A1128:E1128"/>
    <mergeCell ref="A1142:E1142"/>
    <mergeCell ref="A1153:E1153"/>
    <mergeCell ref="A1025:E1025"/>
    <mergeCell ref="A1041:E1041"/>
    <mergeCell ref="A1074:E1074"/>
    <mergeCell ref="A1075:E1075"/>
    <mergeCell ref="A1088:E1088"/>
    <mergeCell ref="A1089:E1089"/>
    <mergeCell ref="A891:E891"/>
    <mergeCell ref="A905:E905"/>
    <mergeCell ref="A906:E906"/>
    <mergeCell ref="A915:E915"/>
    <mergeCell ref="A916:E916"/>
    <mergeCell ref="A925:E925"/>
    <mergeCell ref="A854:E854"/>
    <mergeCell ref="A866:E866"/>
    <mergeCell ref="A867:E867"/>
    <mergeCell ref="A878:E878"/>
    <mergeCell ref="A879:E879"/>
    <mergeCell ref="A890:E890"/>
    <mergeCell ref="A778:E778"/>
    <mergeCell ref="A793:E793"/>
    <mergeCell ref="A794:E794"/>
    <mergeCell ref="A809:E809"/>
    <mergeCell ref="A823:E823"/>
    <mergeCell ref="A834:E834"/>
    <mergeCell ref="A698:E698"/>
    <mergeCell ref="A722:E722"/>
    <mergeCell ref="A739:E739"/>
    <mergeCell ref="A740:E740"/>
    <mergeCell ref="A752:E752"/>
    <mergeCell ref="A765:E765"/>
    <mergeCell ref="A626:E626"/>
    <mergeCell ref="A627:E627"/>
    <mergeCell ref="A646:E646"/>
    <mergeCell ref="A649:E649"/>
    <mergeCell ref="A665:E665"/>
    <mergeCell ref="A666:E666"/>
    <mergeCell ref="A562:E562"/>
    <mergeCell ref="A578:E578"/>
    <mergeCell ref="A579:E579"/>
    <mergeCell ref="A597:E597"/>
    <mergeCell ref="A598:E598"/>
    <mergeCell ref="A625:E625"/>
    <mergeCell ref="A539:E539"/>
    <mergeCell ref="A545:E545"/>
    <mergeCell ref="A546:E546"/>
    <mergeCell ref="A547:E547"/>
    <mergeCell ref="A548:E548"/>
    <mergeCell ref="A555:E555"/>
    <mergeCell ref="A487:E487"/>
    <mergeCell ref="A488:E488"/>
    <mergeCell ref="A489:E489"/>
    <mergeCell ref="A506:E506"/>
    <mergeCell ref="A529:E529"/>
    <mergeCell ref="A538:E538"/>
    <mergeCell ref="A380:E380"/>
    <mergeCell ref="A381:E381"/>
    <mergeCell ref="A428:E428"/>
    <mergeCell ref="A429:E429"/>
    <mergeCell ref="A446:E446"/>
    <mergeCell ref="A447:E447"/>
    <mergeCell ref="A310:E310"/>
    <mergeCell ref="A311:E311"/>
    <mergeCell ref="A337:E337"/>
    <mergeCell ref="A366:E366"/>
    <mergeCell ref="A375:E375"/>
    <mergeCell ref="A376:E376"/>
    <mergeCell ref="A215:E215"/>
    <mergeCell ref="A216:E216"/>
    <mergeCell ref="A232:E232"/>
    <mergeCell ref="A252:E252"/>
    <mergeCell ref="A253:E253"/>
    <mergeCell ref="A281:E281"/>
    <mergeCell ref="A128:E128"/>
    <mergeCell ref="A129:E129"/>
    <mergeCell ref="A164:E164"/>
    <mergeCell ref="A165:E165"/>
    <mergeCell ref="A171:E171"/>
    <mergeCell ref="A190:E190"/>
    <mergeCell ref="A84:E84"/>
    <mergeCell ref="A102:E102"/>
    <mergeCell ref="A103:E103"/>
    <mergeCell ref="A115:E115"/>
    <mergeCell ref="A116:E116"/>
    <mergeCell ref="A119:E119"/>
    <mergeCell ref="A51:E51"/>
    <mergeCell ref="A52:E52"/>
    <mergeCell ref="A53:E53"/>
    <mergeCell ref="A60:E60"/>
    <mergeCell ref="A67:E67"/>
    <mergeCell ref="A83:E83"/>
    <mergeCell ref="A39:E39"/>
    <mergeCell ref="A43:E43"/>
    <mergeCell ref="A47:E47"/>
    <mergeCell ref="A9:E9"/>
    <mergeCell ref="A10:E10"/>
    <mergeCell ref="A13:E13"/>
    <mergeCell ref="A15:E15"/>
    <mergeCell ref="A16:E16"/>
    <mergeCell ref="A21:E21"/>
    <mergeCell ref="A4:D4"/>
    <mergeCell ref="A5:D5"/>
    <mergeCell ref="A6:D6"/>
    <mergeCell ref="A7:D7"/>
    <mergeCell ref="A2:E2"/>
    <mergeCell ref="A3:E3"/>
    <mergeCell ref="A28:E28"/>
    <mergeCell ref="A29:E29"/>
    <mergeCell ref="A35:E35"/>
  </mergeCells>
  <printOptions horizontalCentered="1"/>
  <pageMargins left="0.39370078740157483" right="0.19685039370078741" top="0.39370078740157483" bottom="0.19685039370078741" header="0" footer="0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Техническое задание</vt:lpstr>
      <vt:lpstr>'Техническое задание'!Заголовки_для_печати</vt:lpstr>
      <vt:lpstr>'Техническое задание'!Область_печати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Скопец Юрий Владимирович</dc:creator>
  <cp:lastModifiedBy>Хамидулин Саяр Гаярович</cp:lastModifiedBy>
  <dcterms:created xsi:type="dcterms:W3CDTF">2024-02-09T05:32:54Z</dcterms:created>
  <dcterms:modified xsi:type="dcterms:W3CDTF">2024-02-09T06:56:39Z</dcterms:modified>
</cp:coreProperties>
</file>